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tjs\Desktop\"/>
    </mc:Choice>
  </mc:AlternateContent>
  <bookViews>
    <workbookView xWindow="480" yWindow="60" windowWidth="18360" windowHeight="7230"/>
  </bookViews>
  <sheets>
    <sheet name="百色市右江区2017年特岗教师招聘网上资格审查通过人员名单" sheetId="1" r:id="rId1"/>
  </sheets>
  <calcPr calcId="162913"/>
</workbook>
</file>

<file path=xl/calcChain.xml><?xml version="1.0" encoding="utf-8"?>
<calcChain xmlns="http://schemas.openxmlformats.org/spreadsheetml/2006/main">
  <c r="A2" i="1" l="1"/>
  <c r="B2" i="1"/>
  <c r="C2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A3" i="1"/>
  <c r="B3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A4" i="1"/>
  <c r="B4" i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A5" i="1"/>
  <c r="B5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A6" i="1"/>
  <c r="B6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A7" i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A8" i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A9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A10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A11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A12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A13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A14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A15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A16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A17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A18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A19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A20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A21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A22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A23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A24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A25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A26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A27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A28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A29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A30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A31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A32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A33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A34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A35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A36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A37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A38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A39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A40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A41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A42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A43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A44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A45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A46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A47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A48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A49" i="1"/>
  <c r="B49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A50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A51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A52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A53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A54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A55" i="1"/>
  <c r="B55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A56" i="1"/>
  <c r="B56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A57" i="1"/>
  <c r="B57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A58" i="1"/>
  <c r="B58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A59" i="1"/>
  <c r="B59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A60" i="1"/>
  <c r="B60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A61" i="1"/>
  <c r="B61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A62" i="1"/>
  <c r="B62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A63" i="1"/>
  <c r="B63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A64" i="1"/>
  <c r="B64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A65" i="1"/>
  <c r="B65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A66" i="1"/>
  <c r="B66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A67" i="1"/>
  <c r="B67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A68" i="1"/>
  <c r="B68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A69" i="1"/>
  <c r="B69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A70" i="1"/>
  <c r="B70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A71" i="1"/>
  <c r="B71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A72" i="1"/>
  <c r="B72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A73" i="1"/>
  <c r="B73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A74" i="1"/>
  <c r="B74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A75" i="1"/>
  <c r="B75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A76" i="1"/>
  <c r="B76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A77" i="1"/>
  <c r="B77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A78" i="1"/>
  <c r="B78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A79" i="1"/>
  <c r="B79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A80" i="1"/>
  <c r="B80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A81" i="1"/>
  <c r="B81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A82" i="1"/>
  <c r="B82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A83" i="1"/>
  <c r="B83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A84" i="1"/>
  <c r="B84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A85" i="1"/>
  <c r="B85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A86" i="1"/>
  <c r="B86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A87" i="1"/>
  <c r="B87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A88" i="1"/>
  <c r="B88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A89" i="1"/>
  <c r="B89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A90" i="1"/>
  <c r="B90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A91" i="1"/>
  <c r="B91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A92" i="1"/>
  <c r="B92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A93" i="1"/>
  <c r="B93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A94" i="1"/>
  <c r="B94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A95" i="1"/>
  <c r="B95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A96" i="1"/>
  <c r="B96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A97" i="1"/>
  <c r="B97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A98" i="1"/>
  <c r="B98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A99" i="1"/>
  <c r="B99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A100" i="1"/>
  <c r="B100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A101" i="1"/>
  <c r="B101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A102" i="1"/>
  <c r="B102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A103" i="1"/>
  <c r="B103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A104" i="1"/>
  <c r="B104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A105" i="1"/>
  <c r="B105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A106" i="1"/>
  <c r="B106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A107" i="1"/>
  <c r="B107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A108" i="1"/>
  <c r="B108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A109" i="1"/>
  <c r="B109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A110" i="1"/>
  <c r="B110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A111" i="1"/>
  <c r="B111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A112" i="1"/>
  <c r="B112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A113" i="1"/>
  <c r="B113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A114" i="1"/>
  <c r="B114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A115" i="1"/>
  <c r="B115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A116" i="1"/>
  <c r="B116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A117" i="1"/>
  <c r="B117" i="1"/>
  <c r="C117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A118" i="1"/>
  <c r="B118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A119" i="1"/>
  <c r="B119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A120" i="1"/>
  <c r="B120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A121" i="1"/>
  <c r="B121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A122" i="1"/>
  <c r="B122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A123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A124" i="1"/>
  <c r="B124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A125" i="1"/>
  <c r="B125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A126" i="1"/>
  <c r="B126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A127" i="1"/>
  <c r="B127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A128" i="1"/>
  <c r="B128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A129" i="1"/>
  <c r="B129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A130" i="1"/>
  <c r="B130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A131" i="1"/>
  <c r="B131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A132" i="1"/>
  <c r="B132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A133" i="1"/>
  <c r="B133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A134" i="1"/>
  <c r="B134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A135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A136" i="1"/>
  <c r="B136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A137" i="1"/>
  <c r="B137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A138" i="1"/>
  <c r="B138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A139" i="1"/>
  <c r="B139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A140" i="1"/>
  <c r="B140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A141" i="1"/>
  <c r="B141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A142" i="1"/>
  <c r="B142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A143" i="1"/>
  <c r="B143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A144" i="1"/>
  <c r="B144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A145" i="1"/>
  <c r="B145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A146" i="1"/>
  <c r="B146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A147" i="1"/>
  <c r="B147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A148" i="1"/>
  <c r="B148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A149" i="1"/>
  <c r="B149" i="1"/>
  <c r="C149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A150" i="1"/>
  <c r="B150" i="1"/>
  <c r="C150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U150" i="1"/>
  <c r="A151" i="1"/>
  <c r="B151" i="1"/>
  <c r="C151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A152" i="1"/>
  <c r="B152" i="1"/>
  <c r="C152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U152" i="1"/>
  <c r="A153" i="1"/>
  <c r="B153" i="1"/>
  <c r="C153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U153" i="1"/>
  <c r="A154" i="1"/>
  <c r="B154" i="1"/>
  <c r="C154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A155" i="1"/>
  <c r="B155" i="1"/>
  <c r="C155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A156" i="1"/>
  <c r="B156" i="1"/>
  <c r="C156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U156" i="1"/>
  <c r="A157" i="1"/>
  <c r="B157" i="1"/>
  <c r="C157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U157" i="1"/>
  <c r="A158" i="1"/>
  <c r="B158" i="1"/>
  <c r="C158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U158" i="1"/>
  <c r="A159" i="1"/>
  <c r="B159" i="1"/>
  <c r="C159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A160" i="1"/>
  <c r="B160" i="1"/>
  <c r="C160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U160" i="1"/>
  <c r="A161" i="1"/>
  <c r="B161" i="1"/>
  <c r="C161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U161" i="1"/>
  <c r="A162" i="1"/>
  <c r="B162" i="1"/>
  <c r="C162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U162" i="1"/>
  <c r="A163" i="1"/>
  <c r="B163" i="1"/>
  <c r="C163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A164" i="1"/>
  <c r="B164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U164" i="1"/>
  <c r="A165" i="1"/>
  <c r="B165" i="1"/>
  <c r="C165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U165" i="1"/>
  <c r="A166" i="1"/>
  <c r="B166" i="1"/>
  <c r="C166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U166" i="1"/>
  <c r="A167" i="1"/>
  <c r="B167" i="1"/>
  <c r="C167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U167" i="1"/>
  <c r="A168" i="1"/>
  <c r="B168" i="1"/>
  <c r="C168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U168" i="1"/>
  <c r="A169" i="1"/>
  <c r="B169" i="1"/>
  <c r="C169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A170" i="1"/>
  <c r="B170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A171" i="1"/>
  <c r="B171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A172" i="1"/>
  <c r="B172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A173" i="1"/>
  <c r="B173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A174" i="1"/>
  <c r="B174" i="1"/>
  <c r="C174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A175" i="1"/>
  <c r="B175" i="1"/>
  <c r="C175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A176" i="1"/>
  <c r="B176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A177" i="1"/>
  <c r="B177" i="1"/>
  <c r="C177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A178" i="1"/>
  <c r="B178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A179" i="1"/>
  <c r="B179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A180" i="1"/>
  <c r="B180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A181" i="1"/>
  <c r="B181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A182" i="1"/>
  <c r="B182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A183" i="1"/>
  <c r="B183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A184" i="1"/>
  <c r="B184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A185" i="1"/>
  <c r="B185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A186" i="1"/>
  <c r="B186" i="1"/>
  <c r="C186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A187" i="1"/>
  <c r="B187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A188" i="1"/>
  <c r="B188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A189" i="1"/>
  <c r="B189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A190" i="1"/>
  <c r="B190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T190" i="1"/>
  <c r="U190" i="1"/>
  <c r="A191" i="1"/>
  <c r="B191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S191" i="1"/>
  <c r="T191" i="1"/>
  <c r="U191" i="1"/>
  <c r="A192" i="1"/>
  <c r="B192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T192" i="1"/>
  <c r="U192" i="1"/>
  <c r="A193" i="1"/>
  <c r="B193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U193" i="1"/>
  <c r="A194" i="1"/>
  <c r="B194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U194" i="1"/>
  <c r="A195" i="1"/>
  <c r="B195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T195" i="1"/>
  <c r="U195" i="1"/>
  <c r="A196" i="1"/>
  <c r="B196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S196" i="1"/>
  <c r="T196" i="1"/>
  <c r="U196" i="1"/>
  <c r="A197" i="1"/>
  <c r="B197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S197" i="1"/>
  <c r="T197" i="1"/>
  <c r="U197" i="1"/>
  <c r="A198" i="1"/>
  <c r="B198" i="1"/>
  <c r="C198" i="1"/>
  <c r="D198" i="1"/>
  <c r="E198" i="1"/>
  <c r="F198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S198" i="1"/>
  <c r="T198" i="1"/>
  <c r="U198" i="1"/>
  <c r="A199" i="1"/>
  <c r="B199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S199" i="1"/>
  <c r="T199" i="1"/>
  <c r="U199" i="1"/>
  <c r="A200" i="1"/>
  <c r="B200" i="1"/>
  <c r="C200" i="1"/>
  <c r="D200" i="1"/>
  <c r="E200" i="1"/>
  <c r="F200" i="1"/>
  <c r="G200" i="1"/>
  <c r="H200" i="1"/>
  <c r="I200" i="1"/>
  <c r="J200" i="1"/>
  <c r="K200" i="1"/>
  <c r="L200" i="1"/>
  <c r="M200" i="1"/>
  <c r="N200" i="1"/>
  <c r="O200" i="1"/>
  <c r="P200" i="1"/>
  <c r="Q200" i="1"/>
  <c r="R200" i="1"/>
  <c r="S200" i="1"/>
  <c r="T200" i="1"/>
  <c r="U200" i="1"/>
  <c r="A201" i="1"/>
  <c r="B201" i="1"/>
  <c r="C201" i="1"/>
  <c r="D201" i="1"/>
  <c r="E201" i="1"/>
  <c r="F201" i="1"/>
  <c r="G201" i="1"/>
  <c r="H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A202" i="1"/>
  <c r="B202" i="1"/>
  <c r="C202" i="1"/>
  <c r="D202" i="1"/>
  <c r="E202" i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A203" i="1"/>
  <c r="B203" i="1"/>
  <c r="C203" i="1"/>
  <c r="D203" i="1"/>
  <c r="E203" i="1"/>
  <c r="F203" i="1"/>
  <c r="G203" i="1"/>
  <c r="H203" i="1"/>
  <c r="I203" i="1"/>
  <c r="J203" i="1"/>
  <c r="K203" i="1"/>
  <c r="L203" i="1"/>
  <c r="M203" i="1"/>
  <c r="N203" i="1"/>
  <c r="O203" i="1"/>
  <c r="P203" i="1"/>
  <c r="Q203" i="1"/>
  <c r="R203" i="1"/>
  <c r="S203" i="1"/>
  <c r="T203" i="1"/>
  <c r="U203" i="1"/>
  <c r="A204" i="1"/>
  <c r="B204" i="1"/>
  <c r="C204" i="1"/>
  <c r="D204" i="1"/>
  <c r="E204" i="1"/>
  <c r="F204" i="1"/>
  <c r="G204" i="1"/>
  <c r="H204" i="1"/>
  <c r="I204" i="1"/>
  <c r="J204" i="1"/>
  <c r="K204" i="1"/>
  <c r="L204" i="1"/>
  <c r="M204" i="1"/>
  <c r="N204" i="1"/>
  <c r="O204" i="1"/>
  <c r="P204" i="1"/>
  <c r="Q204" i="1"/>
  <c r="R204" i="1"/>
  <c r="S204" i="1"/>
  <c r="T204" i="1"/>
  <c r="U204" i="1"/>
  <c r="A205" i="1"/>
  <c r="B205" i="1"/>
  <c r="C205" i="1"/>
  <c r="D205" i="1"/>
  <c r="E205" i="1"/>
  <c r="F205" i="1"/>
  <c r="G205" i="1"/>
  <c r="H205" i="1"/>
  <c r="I205" i="1"/>
  <c r="J205" i="1"/>
  <c r="K205" i="1"/>
  <c r="L205" i="1"/>
  <c r="M205" i="1"/>
  <c r="N205" i="1"/>
  <c r="O205" i="1"/>
  <c r="P205" i="1"/>
  <c r="Q205" i="1"/>
  <c r="R205" i="1"/>
  <c r="S205" i="1"/>
  <c r="T205" i="1"/>
  <c r="U205" i="1"/>
  <c r="A206" i="1"/>
  <c r="B206" i="1"/>
  <c r="C206" i="1"/>
  <c r="D206" i="1"/>
  <c r="E206" i="1"/>
  <c r="F206" i="1"/>
  <c r="G206" i="1"/>
  <c r="H206" i="1"/>
  <c r="I206" i="1"/>
  <c r="J206" i="1"/>
  <c r="K206" i="1"/>
  <c r="L206" i="1"/>
  <c r="M206" i="1"/>
  <c r="N206" i="1"/>
  <c r="O206" i="1"/>
  <c r="P206" i="1"/>
  <c r="Q206" i="1"/>
  <c r="R206" i="1"/>
  <c r="S206" i="1"/>
  <c r="T206" i="1"/>
  <c r="U206" i="1"/>
  <c r="A207" i="1"/>
  <c r="B207" i="1"/>
  <c r="C207" i="1"/>
  <c r="D207" i="1"/>
  <c r="E207" i="1"/>
  <c r="F207" i="1"/>
  <c r="G207" i="1"/>
  <c r="H207" i="1"/>
  <c r="I207" i="1"/>
  <c r="J207" i="1"/>
  <c r="K207" i="1"/>
  <c r="L207" i="1"/>
  <c r="M207" i="1"/>
  <c r="N207" i="1"/>
  <c r="O207" i="1"/>
  <c r="P207" i="1"/>
  <c r="Q207" i="1"/>
  <c r="R207" i="1"/>
  <c r="S207" i="1"/>
  <c r="T207" i="1"/>
  <c r="U207" i="1"/>
  <c r="A208" i="1"/>
  <c r="B208" i="1"/>
  <c r="C208" i="1"/>
  <c r="D208" i="1"/>
  <c r="E208" i="1"/>
  <c r="F208" i="1"/>
  <c r="G208" i="1"/>
  <c r="H208" i="1"/>
  <c r="I208" i="1"/>
  <c r="J208" i="1"/>
  <c r="K208" i="1"/>
  <c r="L208" i="1"/>
  <c r="M208" i="1"/>
  <c r="N208" i="1"/>
  <c r="O208" i="1"/>
  <c r="P208" i="1"/>
  <c r="Q208" i="1"/>
  <c r="R208" i="1"/>
  <c r="S208" i="1"/>
  <c r="T208" i="1"/>
  <c r="U208" i="1"/>
  <c r="A209" i="1"/>
  <c r="B209" i="1"/>
  <c r="C209" i="1"/>
  <c r="D209" i="1"/>
  <c r="E209" i="1"/>
  <c r="F209" i="1"/>
  <c r="G209" i="1"/>
  <c r="H209" i="1"/>
  <c r="I209" i="1"/>
  <c r="J209" i="1"/>
  <c r="K209" i="1"/>
  <c r="L209" i="1"/>
  <c r="M209" i="1"/>
  <c r="N209" i="1"/>
  <c r="O209" i="1"/>
  <c r="P209" i="1"/>
  <c r="Q209" i="1"/>
  <c r="R209" i="1"/>
  <c r="S209" i="1"/>
  <c r="T209" i="1"/>
  <c r="U209" i="1"/>
  <c r="A210" i="1"/>
  <c r="B210" i="1"/>
  <c r="C210" i="1"/>
  <c r="D210" i="1"/>
  <c r="E210" i="1"/>
  <c r="F210" i="1"/>
  <c r="G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U210" i="1"/>
  <c r="A211" i="1"/>
  <c r="B211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U211" i="1"/>
  <c r="A212" i="1"/>
  <c r="B212" i="1"/>
  <c r="C212" i="1"/>
  <c r="D212" i="1"/>
  <c r="E212" i="1"/>
  <c r="F212" i="1"/>
  <c r="G212" i="1"/>
  <c r="H212" i="1"/>
  <c r="I212" i="1"/>
  <c r="J212" i="1"/>
  <c r="K212" i="1"/>
  <c r="L212" i="1"/>
  <c r="M212" i="1"/>
  <c r="N212" i="1"/>
  <c r="O212" i="1"/>
  <c r="P212" i="1"/>
  <c r="Q212" i="1"/>
  <c r="R212" i="1"/>
  <c r="S212" i="1"/>
  <c r="T212" i="1"/>
  <c r="U212" i="1"/>
  <c r="A213" i="1"/>
  <c r="B213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A214" i="1"/>
  <c r="B214" i="1"/>
  <c r="C214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U214" i="1"/>
  <c r="A215" i="1"/>
  <c r="B215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A216" i="1"/>
  <c r="B216" i="1"/>
  <c r="C216" i="1"/>
  <c r="D216" i="1"/>
  <c r="E216" i="1"/>
  <c r="F216" i="1"/>
  <c r="G216" i="1"/>
  <c r="H216" i="1"/>
  <c r="I216" i="1"/>
  <c r="J216" i="1"/>
  <c r="K216" i="1"/>
  <c r="L216" i="1"/>
  <c r="M216" i="1"/>
  <c r="N216" i="1"/>
  <c r="O216" i="1"/>
  <c r="P216" i="1"/>
  <c r="Q216" i="1"/>
  <c r="R216" i="1"/>
  <c r="S216" i="1"/>
  <c r="T216" i="1"/>
  <c r="U216" i="1"/>
  <c r="A217" i="1"/>
  <c r="B217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A218" i="1"/>
  <c r="B218" i="1"/>
  <c r="C218" i="1"/>
  <c r="D218" i="1"/>
  <c r="E218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A219" i="1"/>
  <c r="B219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A220" i="1"/>
  <c r="B220" i="1"/>
  <c r="C220" i="1"/>
  <c r="D220" i="1"/>
  <c r="E220" i="1"/>
  <c r="F220" i="1"/>
  <c r="G220" i="1"/>
  <c r="H220" i="1"/>
  <c r="I220" i="1"/>
  <c r="J220" i="1"/>
  <c r="K220" i="1"/>
  <c r="L220" i="1"/>
  <c r="M220" i="1"/>
  <c r="N220" i="1"/>
  <c r="O220" i="1"/>
  <c r="P220" i="1"/>
  <c r="Q220" i="1"/>
  <c r="R220" i="1"/>
  <c r="S220" i="1"/>
  <c r="T220" i="1"/>
  <c r="U220" i="1"/>
  <c r="A221" i="1"/>
  <c r="B221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U221" i="1"/>
  <c r="A222" i="1"/>
  <c r="B222" i="1"/>
  <c r="C222" i="1"/>
  <c r="D222" i="1"/>
  <c r="E222" i="1"/>
  <c r="F222" i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A223" i="1"/>
  <c r="B223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A224" i="1"/>
  <c r="B224" i="1"/>
  <c r="C224" i="1"/>
  <c r="D224" i="1"/>
  <c r="E224" i="1"/>
  <c r="F224" i="1"/>
  <c r="G224" i="1"/>
  <c r="H224" i="1"/>
  <c r="I224" i="1"/>
  <c r="J224" i="1"/>
  <c r="K224" i="1"/>
  <c r="L224" i="1"/>
  <c r="M224" i="1"/>
  <c r="N224" i="1"/>
  <c r="O224" i="1"/>
  <c r="P224" i="1"/>
  <c r="Q224" i="1"/>
  <c r="R224" i="1"/>
  <c r="S224" i="1"/>
  <c r="T224" i="1"/>
  <c r="U224" i="1"/>
  <c r="A225" i="1"/>
  <c r="B225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U225" i="1"/>
  <c r="A226" i="1"/>
  <c r="B226" i="1"/>
  <c r="C226" i="1"/>
  <c r="D226" i="1"/>
  <c r="E226" i="1"/>
  <c r="F226" i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A227" i="1"/>
  <c r="B227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A228" i="1"/>
  <c r="B228" i="1"/>
  <c r="C228" i="1"/>
  <c r="D228" i="1"/>
  <c r="E228" i="1"/>
  <c r="F228" i="1"/>
  <c r="G228" i="1"/>
  <c r="H228" i="1"/>
  <c r="I228" i="1"/>
  <c r="J228" i="1"/>
  <c r="K228" i="1"/>
  <c r="L228" i="1"/>
  <c r="M228" i="1"/>
  <c r="N228" i="1"/>
  <c r="O228" i="1"/>
  <c r="P228" i="1"/>
  <c r="Q228" i="1"/>
  <c r="R228" i="1"/>
  <c r="S228" i="1"/>
  <c r="T228" i="1"/>
  <c r="U228" i="1"/>
  <c r="A229" i="1"/>
  <c r="B229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T229" i="1"/>
  <c r="U229" i="1"/>
  <c r="A230" i="1"/>
  <c r="B230" i="1"/>
  <c r="C230" i="1"/>
  <c r="D230" i="1"/>
  <c r="E230" i="1"/>
  <c r="F230" i="1"/>
  <c r="G230" i="1"/>
  <c r="H230" i="1"/>
  <c r="I230" i="1"/>
  <c r="J230" i="1"/>
  <c r="K230" i="1"/>
  <c r="L230" i="1"/>
  <c r="M230" i="1"/>
  <c r="N230" i="1"/>
  <c r="O230" i="1"/>
  <c r="P230" i="1"/>
  <c r="Q230" i="1"/>
  <c r="R230" i="1"/>
  <c r="S230" i="1"/>
  <c r="T230" i="1"/>
  <c r="U230" i="1"/>
  <c r="A231" i="1"/>
  <c r="B231" i="1"/>
  <c r="C231" i="1"/>
  <c r="D231" i="1"/>
  <c r="E231" i="1"/>
  <c r="F231" i="1"/>
  <c r="G231" i="1"/>
  <c r="H231" i="1"/>
  <c r="I231" i="1"/>
  <c r="J231" i="1"/>
  <c r="K231" i="1"/>
  <c r="L231" i="1"/>
  <c r="M231" i="1"/>
  <c r="N231" i="1"/>
  <c r="O231" i="1"/>
  <c r="P231" i="1"/>
  <c r="Q231" i="1"/>
  <c r="R231" i="1"/>
  <c r="S231" i="1"/>
  <c r="T231" i="1"/>
  <c r="U231" i="1"/>
  <c r="A232" i="1"/>
  <c r="B232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S232" i="1"/>
  <c r="T232" i="1"/>
  <c r="U232" i="1"/>
  <c r="A233" i="1"/>
  <c r="B233" i="1"/>
  <c r="C233" i="1"/>
  <c r="D233" i="1"/>
  <c r="E233" i="1"/>
  <c r="F233" i="1"/>
  <c r="G233" i="1"/>
  <c r="H233" i="1"/>
  <c r="I233" i="1"/>
  <c r="J233" i="1"/>
  <c r="K233" i="1"/>
  <c r="L233" i="1"/>
  <c r="M233" i="1"/>
  <c r="N233" i="1"/>
  <c r="O233" i="1"/>
  <c r="P233" i="1"/>
  <c r="Q233" i="1"/>
  <c r="R233" i="1"/>
  <c r="S233" i="1"/>
  <c r="T233" i="1"/>
  <c r="U233" i="1"/>
  <c r="A234" i="1"/>
  <c r="B234" i="1"/>
  <c r="C234" i="1"/>
  <c r="D234" i="1"/>
  <c r="E234" i="1"/>
  <c r="F234" i="1"/>
  <c r="G234" i="1"/>
  <c r="H234" i="1"/>
  <c r="I234" i="1"/>
  <c r="J234" i="1"/>
  <c r="K234" i="1"/>
  <c r="L234" i="1"/>
  <c r="M234" i="1"/>
  <c r="N234" i="1"/>
  <c r="O234" i="1"/>
  <c r="P234" i="1"/>
  <c r="Q234" i="1"/>
  <c r="R234" i="1"/>
  <c r="S234" i="1"/>
  <c r="T234" i="1"/>
  <c r="U234" i="1"/>
  <c r="A235" i="1"/>
  <c r="B235" i="1"/>
  <c r="C235" i="1"/>
  <c r="D235" i="1"/>
  <c r="E235" i="1"/>
  <c r="F235" i="1"/>
  <c r="G235" i="1"/>
  <c r="H235" i="1"/>
  <c r="I235" i="1"/>
  <c r="J235" i="1"/>
  <c r="K235" i="1"/>
  <c r="L235" i="1"/>
  <c r="M235" i="1"/>
  <c r="N235" i="1"/>
  <c r="O235" i="1"/>
  <c r="P235" i="1"/>
  <c r="Q235" i="1"/>
  <c r="R235" i="1"/>
  <c r="S235" i="1"/>
  <c r="T235" i="1"/>
  <c r="U235" i="1"/>
  <c r="A236" i="1"/>
  <c r="B236" i="1"/>
  <c r="C236" i="1"/>
  <c r="D236" i="1"/>
  <c r="E236" i="1"/>
  <c r="F236" i="1"/>
  <c r="G236" i="1"/>
  <c r="H236" i="1"/>
  <c r="I236" i="1"/>
  <c r="J236" i="1"/>
  <c r="K236" i="1"/>
  <c r="L236" i="1"/>
  <c r="M236" i="1"/>
  <c r="N236" i="1"/>
  <c r="O236" i="1"/>
  <c r="P236" i="1"/>
  <c r="Q236" i="1"/>
  <c r="R236" i="1"/>
  <c r="S236" i="1"/>
  <c r="T236" i="1"/>
  <c r="U236" i="1"/>
  <c r="A237" i="1"/>
  <c r="B237" i="1"/>
  <c r="C237" i="1"/>
  <c r="D237" i="1"/>
  <c r="E237" i="1"/>
  <c r="F237" i="1"/>
  <c r="G237" i="1"/>
  <c r="H237" i="1"/>
  <c r="I237" i="1"/>
  <c r="J237" i="1"/>
  <c r="K237" i="1"/>
  <c r="L237" i="1"/>
  <c r="M237" i="1"/>
  <c r="N237" i="1"/>
  <c r="O237" i="1"/>
  <c r="P237" i="1"/>
  <c r="Q237" i="1"/>
  <c r="R237" i="1"/>
  <c r="S237" i="1"/>
  <c r="T237" i="1"/>
  <c r="U237" i="1"/>
  <c r="A238" i="1"/>
  <c r="B238" i="1"/>
  <c r="C238" i="1"/>
  <c r="D238" i="1"/>
  <c r="E238" i="1"/>
  <c r="F238" i="1"/>
  <c r="G238" i="1"/>
  <c r="H238" i="1"/>
  <c r="I238" i="1"/>
  <c r="J238" i="1"/>
  <c r="K238" i="1"/>
  <c r="L238" i="1"/>
  <c r="M238" i="1"/>
  <c r="N238" i="1"/>
  <c r="O238" i="1"/>
  <c r="P238" i="1"/>
  <c r="Q238" i="1"/>
  <c r="R238" i="1"/>
  <c r="S238" i="1"/>
  <c r="T238" i="1"/>
  <c r="U238" i="1"/>
  <c r="A239" i="1"/>
  <c r="B239" i="1"/>
  <c r="C239" i="1"/>
  <c r="D239" i="1"/>
  <c r="E239" i="1"/>
  <c r="F239" i="1"/>
  <c r="G239" i="1"/>
  <c r="H239" i="1"/>
  <c r="I239" i="1"/>
  <c r="J239" i="1"/>
  <c r="K239" i="1"/>
  <c r="L239" i="1"/>
  <c r="M239" i="1"/>
  <c r="N239" i="1"/>
  <c r="O239" i="1"/>
  <c r="P239" i="1"/>
  <c r="Q239" i="1"/>
  <c r="R239" i="1"/>
  <c r="S239" i="1"/>
  <c r="T239" i="1"/>
  <c r="U239" i="1"/>
  <c r="A240" i="1"/>
  <c r="B240" i="1"/>
  <c r="C240" i="1"/>
  <c r="D240" i="1"/>
  <c r="E240" i="1"/>
  <c r="F240" i="1"/>
  <c r="G240" i="1"/>
  <c r="H240" i="1"/>
  <c r="I240" i="1"/>
  <c r="J240" i="1"/>
  <c r="K240" i="1"/>
  <c r="L240" i="1"/>
  <c r="M240" i="1"/>
  <c r="N240" i="1"/>
  <c r="O240" i="1"/>
  <c r="P240" i="1"/>
  <c r="Q240" i="1"/>
  <c r="R240" i="1"/>
  <c r="S240" i="1"/>
  <c r="T240" i="1"/>
  <c r="U240" i="1"/>
  <c r="A241" i="1"/>
  <c r="B241" i="1"/>
  <c r="C241" i="1"/>
  <c r="D241" i="1"/>
  <c r="E241" i="1"/>
  <c r="F241" i="1"/>
  <c r="G241" i="1"/>
  <c r="H241" i="1"/>
  <c r="I241" i="1"/>
  <c r="J241" i="1"/>
  <c r="K241" i="1"/>
  <c r="L241" i="1"/>
  <c r="M241" i="1"/>
  <c r="N241" i="1"/>
  <c r="O241" i="1"/>
  <c r="P241" i="1"/>
  <c r="Q241" i="1"/>
  <c r="R241" i="1"/>
  <c r="S241" i="1"/>
  <c r="T241" i="1"/>
  <c r="U241" i="1"/>
  <c r="A242" i="1"/>
  <c r="B242" i="1"/>
  <c r="C242" i="1"/>
  <c r="D242" i="1"/>
  <c r="E242" i="1"/>
  <c r="F242" i="1"/>
  <c r="G242" i="1"/>
  <c r="H242" i="1"/>
  <c r="I242" i="1"/>
  <c r="J242" i="1"/>
  <c r="K242" i="1"/>
  <c r="L242" i="1"/>
  <c r="M242" i="1"/>
  <c r="N242" i="1"/>
  <c r="O242" i="1"/>
  <c r="P242" i="1"/>
  <c r="Q242" i="1"/>
  <c r="R242" i="1"/>
  <c r="S242" i="1"/>
  <c r="T242" i="1"/>
  <c r="U242" i="1"/>
  <c r="A243" i="1"/>
  <c r="B243" i="1"/>
  <c r="C243" i="1"/>
  <c r="D243" i="1"/>
  <c r="E243" i="1"/>
  <c r="F243" i="1"/>
  <c r="G243" i="1"/>
  <c r="H243" i="1"/>
  <c r="I243" i="1"/>
  <c r="J243" i="1"/>
  <c r="K243" i="1"/>
  <c r="L243" i="1"/>
  <c r="M243" i="1"/>
  <c r="N243" i="1"/>
  <c r="O243" i="1"/>
  <c r="P243" i="1"/>
  <c r="Q243" i="1"/>
  <c r="R243" i="1"/>
  <c r="S243" i="1"/>
  <c r="T243" i="1"/>
  <c r="U243" i="1"/>
  <c r="A244" i="1"/>
  <c r="B244" i="1"/>
  <c r="C244" i="1"/>
  <c r="D244" i="1"/>
  <c r="E244" i="1"/>
  <c r="F244" i="1"/>
  <c r="G244" i="1"/>
  <c r="H244" i="1"/>
  <c r="I244" i="1"/>
  <c r="J244" i="1"/>
  <c r="K244" i="1"/>
  <c r="L244" i="1"/>
  <c r="M244" i="1"/>
  <c r="N244" i="1"/>
  <c r="O244" i="1"/>
  <c r="P244" i="1"/>
  <c r="Q244" i="1"/>
  <c r="R244" i="1"/>
  <c r="S244" i="1"/>
  <c r="T244" i="1"/>
  <c r="U244" i="1"/>
  <c r="A245" i="1"/>
  <c r="B245" i="1"/>
  <c r="C245" i="1"/>
  <c r="D245" i="1"/>
  <c r="E245" i="1"/>
  <c r="F245" i="1"/>
  <c r="G245" i="1"/>
  <c r="H245" i="1"/>
  <c r="I245" i="1"/>
  <c r="J245" i="1"/>
  <c r="K245" i="1"/>
  <c r="L245" i="1"/>
  <c r="M245" i="1"/>
  <c r="N245" i="1"/>
  <c r="O245" i="1"/>
  <c r="P245" i="1"/>
  <c r="Q245" i="1"/>
  <c r="R245" i="1"/>
  <c r="S245" i="1"/>
  <c r="T245" i="1"/>
  <c r="U245" i="1"/>
  <c r="A246" i="1"/>
  <c r="B246" i="1"/>
  <c r="C246" i="1"/>
  <c r="D246" i="1"/>
  <c r="E246" i="1"/>
  <c r="F246" i="1"/>
  <c r="G246" i="1"/>
  <c r="H246" i="1"/>
  <c r="I246" i="1"/>
  <c r="J246" i="1"/>
  <c r="K246" i="1"/>
  <c r="L246" i="1"/>
  <c r="M246" i="1"/>
  <c r="N246" i="1"/>
  <c r="O246" i="1"/>
  <c r="P246" i="1"/>
  <c r="Q246" i="1"/>
  <c r="R246" i="1"/>
  <c r="S246" i="1"/>
  <c r="T246" i="1"/>
  <c r="U246" i="1"/>
</calcChain>
</file>

<file path=xl/sharedStrings.xml><?xml version="1.0" encoding="utf-8"?>
<sst xmlns="http://schemas.openxmlformats.org/spreadsheetml/2006/main" count="21" uniqueCount="21">
  <si>
    <t>编号</t>
  </si>
  <si>
    <t>姓名</t>
  </si>
  <si>
    <t>性别</t>
  </si>
  <si>
    <t>民族</t>
  </si>
  <si>
    <t>籍贯</t>
  </si>
  <si>
    <t>出生年月</t>
  </si>
  <si>
    <t>政治面貌</t>
  </si>
  <si>
    <t>毕业学校</t>
  </si>
  <si>
    <t>专业</t>
  </si>
  <si>
    <t>学历学位</t>
  </si>
  <si>
    <t>地区名称</t>
  </si>
  <si>
    <t>家庭地址</t>
  </si>
  <si>
    <t>工作时间</t>
  </si>
  <si>
    <t>毕业时间</t>
  </si>
  <si>
    <t>是否师范类</t>
  </si>
  <si>
    <t>教师资格种类</t>
  </si>
  <si>
    <t>教师资格证号</t>
  </si>
  <si>
    <t>毕业证号</t>
  </si>
  <si>
    <t>任教学段</t>
  </si>
  <si>
    <t>任教科目</t>
  </si>
  <si>
    <t>审批结果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</si>
</sst>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6"/>
  <sheetViews>
    <sheetView tabSelected="1" workbookViewId="0">
      <selection activeCell="V1" sqref="V1:V1048576"/>
    </sheetView>
  </sheetViews>
  <sheetFormatPr defaultRowHeight="13.5" x14ac:dyDescent="0.15"/>
  <cols>
    <col min="1" max="1" width="4.75" customWidth="1"/>
    <col min="3" max="3" width="5" customWidth="1"/>
    <col min="4" max="4" width="6" customWidth="1"/>
    <col min="12" max="12" width="12.5" customWidth="1"/>
  </cols>
  <sheetData>
    <row r="1" spans="1:21" x14ac:dyDescent="0.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</row>
    <row r="2" spans="1:21" x14ac:dyDescent="0.15">
      <c r="A2" t="str">
        <f>"1"</f>
        <v>1</v>
      </c>
      <c r="B2" t="str">
        <f>"欧阳兆生"</f>
        <v>欧阳兆生</v>
      </c>
      <c r="C2" t="str">
        <f>"男        "</f>
        <v xml:space="preserve">男        </v>
      </c>
      <c r="D2" t="str">
        <f>"壮族"</f>
        <v>壮族</v>
      </c>
      <c r="E2" t="str">
        <f>"广西河池市巴马县"</f>
        <v>广西河池市巴马县</v>
      </c>
      <c r="F2" t="str">
        <f>"1987年10月"</f>
        <v>1987年10月</v>
      </c>
      <c r="G2" t="str">
        <f>"群众"</f>
        <v>群众</v>
      </c>
      <c r="H2" t="str">
        <f>"玉林师范学院体育教育"</f>
        <v>玉林师范学院体育教育</v>
      </c>
      <c r="I2" t="str">
        <f>"体育教育"</f>
        <v>体育教育</v>
      </c>
      <c r="J2" t="str">
        <f>"本科学士"</f>
        <v>本科学士</v>
      </c>
      <c r="K2" t="str">
        <f t="shared" ref="K2:K65" si="0">"百色市右江区"</f>
        <v>百色市右江区</v>
      </c>
      <c r="L2" t="str">
        <f>"广西省河池市巴马县所略乡甲略村集贤屯"</f>
        <v>广西省河池市巴马县所略乡甲略村集贤屯</v>
      </c>
      <c r="M2" t="str">
        <f>"2012.09.01"</f>
        <v>2012.09.01</v>
      </c>
      <c r="N2" t="str">
        <f>"2012.06.01"</f>
        <v>2012.06.01</v>
      </c>
      <c r="O2" t="str">
        <f>"是"</f>
        <v>是</v>
      </c>
      <c r="P2" t="str">
        <f>"4:高级中学"</f>
        <v>4:高级中学</v>
      </c>
      <c r="Q2" t="str">
        <f>"20124550041001335"</f>
        <v>20124550041001335</v>
      </c>
      <c r="R2" t="str">
        <f>"106061201205002038"</f>
        <v>106061201205002038</v>
      </c>
      <c r="S2" t="str">
        <f>"初中"</f>
        <v>初中</v>
      </c>
      <c r="T2" t="str">
        <f>"212:体育"</f>
        <v>212:体育</v>
      </c>
      <c r="U2" t="str">
        <f t="shared" ref="U2:U65" si="1">"通过"</f>
        <v>通过</v>
      </c>
    </row>
    <row r="3" spans="1:21" x14ac:dyDescent="0.15">
      <c r="A3" t="str">
        <f>"2"</f>
        <v>2</v>
      </c>
      <c r="B3" t="str">
        <f>"廖梦飞"</f>
        <v>廖梦飞</v>
      </c>
      <c r="C3" t="str">
        <f t="shared" ref="C3:C19" si="2">"女        "</f>
        <v xml:space="preserve">女        </v>
      </c>
      <c r="D3" t="str">
        <f>"壮族"</f>
        <v>壮族</v>
      </c>
      <c r="E3" t="str">
        <f>"广西百色"</f>
        <v>广西百色</v>
      </c>
      <c r="F3" t="str">
        <f>"1993年06月"</f>
        <v>1993年06月</v>
      </c>
      <c r="G3" t="str">
        <f>"共青团员"</f>
        <v>共青团员</v>
      </c>
      <c r="H3" t="str">
        <f>"钦州学院地理科学"</f>
        <v>钦州学院地理科学</v>
      </c>
      <c r="I3" t="str">
        <f>"地理科学"</f>
        <v>地理科学</v>
      </c>
      <c r="J3" t="str">
        <f>"本科学士"</f>
        <v>本科学士</v>
      </c>
      <c r="K3" t="str">
        <f t="shared" si="0"/>
        <v>百色市右江区</v>
      </c>
      <c r="L3" t="str">
        <f>"广西田阳县玉凤镇巴庙村六贯屯23号"</f>
        <v>广西田阳县玉凤镇巴庙村六贯屯23号</v>
      </c>
      <c r="M3" t="str">
        <f>""</f>
        <v/>
      </c>
      <c r="N3" t="str">
        <f>"2017.07.01"</f>
        <v>2017.07.01</v>
      </c>
      <c r="O3" t="str">
        <f>"不是"</f>
        <v>不是</v>
      </c>
      <c r="P3" t="str">
        <f>"4:高级中学"</f>
        <v>4:高级中学</v>
      </c>
      <c r="Q3" t="str">
        <f>"暂无"</f>
        <v>暂无</v>
      </c>
      <c r="R3" t="str">
        <f>"暂无"</f>
        <v>暂无</v>
      </c>
      <c r="S3" t="str">
        <f>"初中"</f>
        <v>初中</v>
      </c>
      <c r="T3" t="str">
        <f>"207:地理"</f>
        <v>207:地理</v>
      </c>
      <c r="U3" t="str">
        <f t="shared" si="1"/>
        <v>通过</v>
      </c>
    </row>
    <row r="4" spans="1:21" x14ac:dyDescent="0.15">
      <c r="A4" t="str">
        <f>"3"</f>
        <v>3</v>
      </c>
      <c r="B4" t="str">
        <f>"刘彩玉"</f>
        <v>刘彩玉</v>
      </c>
      <c r="C4" t="str">
        <f t="shared" si="2"/>
        <v xml:space="preserve">女        </v>
      </c>
      <c r="D4" t="str">
        <f>"汉族"</f>
        <v>汉族</v>
      </c>
      <c r="E4" t="str">
        <f>"广西凌云县"</f>
        <v>广西凌云县</v>
      </c>
      <c r="F4" t="str">
        <f>"1993年10月"</f>
        <v>1993年10月</v>
      </c>
      <c r="G4" t="str">
        <f>"共青团员"</f>
        <v>共青团员</v>
      </c>
      <c r="H4" t="str">
        <f>"百色学院英语本科"</f>
        <v>百色学院英语本科</v>
      </c>
      <c r="I4" t="str">
        <f>"英语本科"</f>
        <v>英语本科</v>
      </c>
      <c r="J4" t="str">
        <f>"本科学士"</f>
        <v>本科学士</v>
      </c>
      <c r="K4" t="str">
        <f t="shared" si="0"/>
        <v>百色市右江区</v>
      </c>
      <c r="L4" t="str">
        <f>"广西百色市凌云县泗城镇品村上弄潭屯7号"</f>
        <v>广西百色市凌云县泗城镇品村上弄潭屯7号</v>
      </c>
      <c r="M4" t="str">
        <f>""</f>
        <v/>
      </c>
      <c r="N4" t="str">
        <f>"2017.07.01"</f>
        <v>2017.07.01</v>
      </c>
      <c r="O4" t="str">
        <f>"不是"</f>
        <v>不是</v>
      </c>
      <c r="P4" t="str">
        <f>"3:初级中学"</f>
        <v>3:初级中学</v>
      </c>
      <c r="Q4" t="str">
        <f>"2017届毕业生填暂无"</f>
        <v>2017届毕业生填暂无</v>
      </c>
      <c r="R4" t="str">
        <f>"2017届毕业生填暂无"</f>
        <v>2017届毕业生填暂无</v>
      </c>
      <c r="S4" t="str">
        <f>"初中"</f>
        <v>初中</v>
      </c>
      <c r="T4" t="str">
        <f>"204:英语"</f>
        <v>204:英语</v>
      </c>
      <c r="U4" t="str">
        <f t="shared" si="1"/>
        <v>通过</v>
      </c>
    </row>
    <row r="5" spans="1:21" x14ac:dyDescent="0.15">
      <c r="A5" t="str">
        <f>"4"</f>
        <v>4</v>
      </c>
      <c r="B5" t="str">
        <f>"李秋玲"</f>
        <v>李秋玲</v>
      </c>
      <c r="C5" t="str">
        <f t="shared" si="2"/>
        <v xml:space="preserve">女        </v>
      </c>
      <c r="D5" t="str">
        <f>"汉族"</f>
        <v>汉族</v>
      </c>
      <c r="E5" t="str">
        <f>"广西"</f>
        <v>广西</v>
      </c>
      <c r="F5" t="str">
        <f>"1993年09月"</f>
        <v>1993年09月</v>
      </c>
      <c r="G5" t="str">
        <f>"共青团员"</f>
        <v>共青团员</v>
      </c>
      <c r="H5" t="str">
        <f>"百色学院汉语"</f>
        <v>百色学院汉语</v>
      </c>
      <c r="I5" t="str">
        <f>"汉语"</f>
        <v>汉语</v>
      </c>
      <c r="J5" t="str">
        <f>"专科无学位"</f>
        <v>专科无学位</v>
      </c>
      <c r="K5" t="str">
        <f t="shared" si="0"/>
        <v>百色市右江区</v>
      </c>
      <c r="L5" t="str">
        <f>"广西百色市乐业县逻沙乡逻瓦村河边屯"</f>
        <v>广西百色市乐业县逻沙乡逻瓦村河边屯</v>
      </c>
      <c r="M5" t="str">
        <f>""</f>
        <v/>
      </c>
      <c r="N5" t="str">
        <f>"2017.06.01"</f>
        <v>2017.06.01</v>
      </c>
      <c r="O5" t="str">
        <f>"是"</f>
        <v>是</v>
      </c>
      <c r="P5" t="str">
        <f>"2:小学"</f>
        <v>2:小学</v>
      </c>
      <c r="Q5" t="str">
        <f>"无"</f>
        <v>无</v>
      </c>
      <c r="R5" t="str">
        <f>"无"</f>
        <v>无</v>
      </c>
      <c r="S5" t="str">
        <f t="shared" ref="S5:S12" si="3">"小学"</f>
        <v>小学</v>
      </c>
      <c r="T5" t="str">
        <f>"102:语文"</f>
        <v>102:语文</v>
      </c>
      <c r="U5" t="str">
        <f t="shared" si="1"/>
        <v>通过</v>
      </c>
    </row>
    <row r="6" spans="1:21" x14ac:dyDescent="0.15">
      <c r="A6" t="str">
        <f>"5"</f>
        <v>5</v>
      </c>
      <c r="B6" t="str">
        <f>"李秀菁"</f>
        <v>李秀菁</v>
      </c>
      <c r="C6" t="str">
        <f t="shared" si="2"/>
        <v xml:space="preserve">女        </v>
      </c>
      <c r="D6" t="str">
        <f>"壮族"</f>
        <v>壮族</v>
      </c>
      <c r="E6" t="str">
        <f>"广西河池市"</f>
        <v>广西河池市</v>
      </c>
      <c r="F6" t="str">
        <f>"1994年03月"</f>
        <v>1994年03月</v>
      </c>
      <c r="G6" t="str">
        <f>"中共党员"</f>
        <v>中共党员</v>
      </c>
      <c r="H6" t="str">
        <f>"百色学院金属材料工程"</f>
        <v>百色学院金属材料工程</v>
      </c>
      <c r="I6" t="str">
        <f>"金属材料工程"</f>
        <v>金属材料工程</v>
      </c>
      <c r="J6" t="str">
        <f>"本科学士"</f>
        <v>本科学士</v>
      </c>
      <c r="K6" t="str">
        <f t="shared" si="0"/>
        <v>百色市右江区</v>
      </c>
      <c r="L6" t="str">
        <f>"广西河池市巴马县那桃乡民安村石湾屯"</f>
        <v>广西河池市巴马县那桃乡民安村石湾屯</v>
      </c>
      <c r="M6" t="str">
        <f>""</f>
        <v/>
      </c>
      <c r="N6" t="str">
        <f>"2017.06.01"</f>
        <v>2017.06.01</v>
      </c>
      <c r="O6" t="str">
        <f>"不是"</f>
        <v>不是</v>
      </c>
      <c r="P6" t="str">
        <f>"0:暂未取得"</f>
        <v>0:暂未取得</v>
      </c>
      <c r="Q6" t="str">
        <f>"暂无"</f>
        <v>暂无</v>
      </c>
      <c r="R6" t="str">
        <f>"暂无"</f>
        <v>暂无</v>
      </c>
      <c r="S6" t="str">
        <f t="shared" si="3"/>
        <v>小学</v>
      </c>
      <c r="T6" t="str">
        <f>"103:数学"</f>
        <v>103:数学</v>
      </c>
      <c r="U6" t="str">
        <f t="shared" si="1"/>
        <v>通过</v>
      </c>
    </row>
    <row r="7" spans="1:21" x14ac:dyDescent="0.15">
      <c r="A7" t="str">
        <f>"6"</f>
        <v>6</v>
      </c>
      <c r="B7" t="str">
        <f>"钟义凤"</f>
        <v>钟义凤</v>
      </c>
      <c r="C7" t="str">
        <f t="shared" si="2"/>
        <v xml:space="preserve">女        </v>
      </c>
      <c r="D7" t="str">
        <f>"汉族"</f>
        <v>汉族</v>
      </c>
      <c r="E7" t="str">
        <f>"云南广南"</f>
        <v>云南广南</v>
      </c>
      <c r="F7" t="str">
        <f>"1993年12月"</f>
        <v>1993年12月</v>
      </c>
      <c r="G7" t="str">
        <f t="shared" ref="G7:G16" si="4">"共青团员"</f>
        <v>共青团员</v>
      </c>
      <c r="H7" t="str">
        <f>"云南工商学院财务管理"</f>
        <v>云南工商学院财务管理</v>
      </c>
      <c r="I7" t="str">
        <f>"财务管理"</f>
        <v>财务管理</v>
      </c>
      <c r="J7" t="str">
        <f>"本科学士"</f>
        <v>本科学士</v>
      </c>
      <c r="K7" t="str">
        <f t="shared" si="0"/>
        <v>百色市右江区</v>
      </c>
      <c r="L7" t="str">
        <f>"云南省文山州广南县八宝镇商贸街小学路"</f>
        <v>云南省文山州广南县八宝镇商贸街小学路</v>
      </c>
      <c r="M7" t="str">
        <f>"2016.08.01"</f>
        <v>2016.08.01</v>
      </c>
      <c r="N7" t="str">
        <f>"2016.07.01"</f>
        <v>2016.07.01</v>
      </c>
      <c r="O7" t="str">
        <f>"不是"</f>
        <v>不是</v>
      </c>
      <c r="P7" t="str">
        <f>"3:初级中学"</f>
        <v>3:初级中学</v>
      </c>
      <c r="Q7" t="str">
        <f>"20165301332000142"</f>
        <v>20165301332000142</v>
      </c>
      <c r="R7" t="str">
        <f>"139091201605000855"</f>
        <v>139091201605000855</v>
      </c>
      <c r="S7" t="str">
        <f t="shared" si="3"/>
        <v>小学</v>
      </c>
      <c r="T7" t="str">
        <f>"102:语文"</f>
        <v>102:语文</v>
      </c>
      <c r="U7" t="str">
        <f t="shared" si="1"/>
        <v>通过</v>
      </c>
    </row>
    <row r="8" spans="1:21" x14ac:dyDescent="0.15">
      <c r="A8" t="str">
        <f>"7"</f>
        <v>7</v>
      </c>
      <c r="B8" t="str">
        <f>"覃燕"</f>
        <v>覃燕</v>
      </c>
      <c r="C8" t="str">
        <f t="shared" si="2"/>
        <v xml:space="preserve">女        </v>
      </c>
      <c r="D8" t="str">
        <f>"汉族"</f>
        <v>汉族</v>
      </c>
      <c r="E8" t="str">
        <f>"广西岑溪市"</f>
        <v>广西岑溪市</v>
      </c>
      <c r="F8" t="str">
        <f>"1995年08月"</f>
        <v>1995年08月</v>
      </c>
      <c r="G8" t="str">
        <f t="shared" si="4"/>
        <v>共青团员</v>
      </c>
      <c r="H8" t="str">
        <f>"百色学院汉语"</f>
        <v>百色学院汉语</v>
      </c>
      <c r="I8" t="str">
        <f>"汉语"</f>
        <v>汉语</v>
      </c>
      <c r="J8" t="str">
        <f>"专科无学位"</f>
        <v>专科无学位</v>
      </c>
      <c r="K8" t="str">
        <f t="shared" si="0"/>
        <v>百色市右江区</v>
      </c>
      <c r="L8" t="str">
        <f>"广西百色市右江区东笋路23号"</f>
        <v>广西百色市右江区东笋路23号</v>
      </c>
      <c r="M8" t="str">
        <f>"2017.02.01"</f>
        <v>2017.02.01</v>
      </c>
      <c r="N8" t="str">
        <f>"2017.06.01"</f>
        <v>2017.06.01</v>
      </c>
      <c r="O8" t="str">
        <f>"是"</f>
        <v>是</v>
      </c>
      <c r="P8" t="str">
        <f>"0:暂未取得"</f>
        <v>0:暂未取得</v>
      </c>
      <c r="Q8" t="str">
        <f>"暂无"</f>
        <v>暂无</v>
      </c>
      <c r="R8" t="str">
        <f>"暂无"</f>
        <v>暂无</v>
      </c>
      <c r="S8" t="str">
        <f t="shared" si="3"/>
        <v>小学</v>
      </c>
      <c r="T8" t="str">
        <f>"102:语文"</f>
        <v>102:语文</v>
      </c>
      <c r="U8" t="str">
        <f t="shared" si="1"/>
        <v>通过</v>
      </c>
    </row>
    <row r="9" spans="1:21" x14ac:dyDescent="0.15">
      <c r="A9" t="str">
        <f>"8"</f>
        <v>8</v>
      </c>
      <c r="B9" t="str">
        <f>"胡水清"</f>
        <v>胡水清</v>
      </c>
      <c r="C9" t="str">
        <f t="shared" si="2"/>
        <v xml:space="preserve">女        </v>
      </c>
      <c r="D9" t="str">
        <f>"壮族"</f>
        <v>壮族</v>
      </c>
      <c r="E9" t="str">
        <f>"广西百色"</f>
        <v>广西百色</v>
      </c>
      <c r="F9" t="str">
        <f>"1994年06月"</f>
        <v>1994年06月</v>
      </c>
      <c r="G9" t="str">
        <f t="shared" si="4"/>
        <v>共青团员</v>
      </c>
      <c r="H9" t="str">
        <f>"桂林师范高等专科学校美术教育"</f>
        <v>桂林师范高等专科学校美术教育</v>
      </c>
      <c r="I9" t="str">
        <f>"美术教育"</f>
        <v>美术教育</v>
      </c>
      <c r="J9" t="str">
        <f>"专科无学位"</f>
        <v>专科无学位</v>
      </c>
      <c r="K9" t="str">
        <f t="shared" si="0"/>
        <v>百色市右江区</v>
      </c>
      <c r="L9" t="str">
        <f>"广西百色市右江区百城街道办事处东合村那东下屯27号"</f>
        <v>广西百色市右江区百城街道办事处东合村那东下屯27号</v>
      </c>
      <c r="M9" t="str">
        <f>""</f>
        <v/>
      </c>
      <c r="N9" t="str">
        <f>"2017.07.01"</f>
        <v>2017.07.01</v>
      </c>
      <c r="O9" t="str">
        <f>"是"</f>
        <v>是</v>
      </c>
      <c r="P9" t="str">
        <f>"0:暂未取得"</f>
        <v>0:暂未取得</v>
      </c>
      <c r="Q9" t="str">
        <f>"2017届毕业生填暂无"</f>
        <v>2017届毕业生填暂无</v>
      </c>
      <c r="R9" t="str">
        <f>"2017届毕业生填暂无"</f>
        <v>2017届毕业生填暂无</v>
      </c>
      <c r="S9" t="str">
        <f t="shared" si="3"/>
        <v>小学</v>
      </c>
      <c r="T9" t="str">
        <f>"108:美术"</f>
        <v>108:美术</v>
      </c>
      <c r="U9" t="str">
        <f t="shared" si="1"/>
        <v>通过</v>
      </c>
    </row>
    <row r="10" spans="1:21" x14ac:dyDescent="0.15">
      <c r="A10" t="str">
        <f>"9"</f>
        <v>9</v>
      </c>
      <c r="B10" t="str">
        <f>"邓慧芬"</f>
        <v>邓慧芬</v>
      </c>
      <c r="C10" t="str">
        <f t="shared" si="2"/>
        <v xml:space="preserve">女        </v>
      </c>
      <c r="D10" t="str">
        <f>"瑶族"</f>
        <v>瑶族</v>
      </c>
      <c r="E10" t="str">
        <f>"广西省桂林市永福县"</f>
        <v>广西省桂林市永福县</v>
      </c>
      <c r="F10" t="str">
        <f>"1993年12月"</f>
        <v>1993年12月</v>
      </c>
      <c r="G10" t="str">
        <f t="shared" si="4"/>
        <v>共青团员</v>
      </c>
      <c r="H10" t="str">
        <f>"百色学院工程管理"</f>
        <v>百色学院工程管理</v>
      </c>
      <c r="I10" t="str">
        <f>"工程管理"</f>
        <v>工程管理</v>
      </c>
      <c r="J10" t="str">
        <f>"本科学士"</f>
        <v>本科学士</v>
      </c>
      <c r="K10" t="str">
        <f t="shared" si="0"/>
        <v>百色市右江区</v>
      </c>
      <c r="L10" t="str">
        <f>"广西省桂林市永福县广福乡德安村"</f>
        <v>广西省桂林市永福县广福乡德安村</v>
      </c>
      <c r="M10" t="str">
        <f>"2016.12.01"</f>
        <v>2016.12.01</v>
      </c>
      <c r="N10" t="str">
        <f>"2017.06.01"</f>
        <v>2017.06.01</v>
      </c>
      <c r="O10" t="str">
        <f>"不是"</f>
        <v>不是</v>
      </c>
      <c r="P10" t="str">
        <f>"0:暂未取得"</f>
        <v>0:暂未取得</v>
      </c>
      <c r="Q10" t="str">
        <f>"2017届毕业生填暂无"</f>
        <v>2017届毕业生填暂无</v>
      </c>
      <c r="R10" t="str">
        <f>"106091201705000462"</f>
        <v>106091201705000462</v>
      </c>
      <c r="S10" t="str">
        <f t="shared" si="3"/>
        <v>小学</v>
      </c>
      <c r="T10" t="str">
        <f>"102:语文"</f>
        <v>102:语文</v>
      </c>
      <c r="U10" t="str">
        <f t="shared" si="1"/>
        <v>通过</v>
      </c>
    </row>
    <row r="11" spans="1:21" x14ac:dyDescent="0.15">
      <c r="A11" t="str">
        <f>"10"</f>
        <v>10</v>
      </c>
      <c r="B11" t="str">
        <f>"刘思"</f>
        <v>刘思</v>
      </c>
      <c r="C11" t="str">
        <f t="shared" si="2"/>
        <v xml:space="preserve">女        </v>
      </c>
      <c r="D11" t="str">
        <f>"瑶族"</f>
        <v>瑶族</v>
      </c>
      <c r="E11" t="str">
        <f>"广西桂林"</f>
        <v>广西桂林</v>
      </c>
      <c r="F11" t="str">
        <f>"1993年03月"</f>
        <v>1993年03月</v>
      </c>
      <c r="G11" t="str">
        <f t="shared" si="4"/>
        <v>共青团员</v>
      </c>
      <c r="H11" t="str">
        <f>"广西师范学院小学教育"</f>
        <v>广西师范学院小学教育</v>
      </c>
      <c r="I11" t="str">
        <f>"小学教育"</f>
        <v>小学教育</v>
      </c>
      <c r="J11" t="str">
        <f>"本科学士"</f>
        <v>本科学士</v>
      </c>
      <c r="K11" t="str">
        <f t="shared" si="0"/>
        <v>百色市右江区</v>
      </c>
      <c r="L11" t="str">
        <f>"广西百色右江区城乡路98号"</f>
        <v>广西百色右江区城乡路98号</v>
      </c>
      <c r="M11" t="str">
        <f>""</f>
        <v/>
      </c>
      <c r="N11" t="str">
        <f>"2017.06.01"</f>
        <v>2017.06.01</v>
      </c>
      <c r="O11" t="str">
        <f>"是"</f>
        <v>是</v>
      </c>
      <c r="P11" t="str">
        <f>"2:小学"</f>
        <v>2:小学</v>
      </c>
      <c r="Q11" t="str">
        <f>"无"</f>
        <v>无</v>
      </c>
      <c r="R11" t="str">
        <f>"无"</f>
        <v>无</v>
      </c>
      <c r="S11" t="str">
        <f t="shared" si="3"/>
        <v>小学</v>
      </c>
      <c r="T11" t="str">
        <f>"103:数学"</f>
        <v>103:数学</v>
      </c>
      <c r="U11" t="str">
        <f t="shared" si="1"/>
        <v>通过</v>
      </c>
    </row>
    <row r="12" spans="1:21" x14ac:dyDescent="0.15">
      <c r="A12" t="str">
        <f>"11"</f>
        <v>11</v>
      </c>
      <c r="B12" t="str">
        <f>"贺艳琴"</f>
        <v>贺艳琴</v>
      </c>
      <c r="C12" t="str">
        <f t="shared" si="2"/>
        <v xml:space="preserve">女        </v>
      </c>
      <c r="D12" t="str">
        <f>"汉族"</f>
        <v>汉族</v>
      </c>
      <c r="E12" t="str">
        <f>"广西省百色市"</f>
        <v>广西省百色市</v>
      </c>
      <c r="F12" t="str">
        <f>"1996年01月"</f>
        <v>1996年01月</v>
      </c>
      <c r="G12" t="str">
        <f t="shared" si="4"/>
        <v>共青团员</v>
      </c>
      <c r="H12" t="str">
        <f>"广西幼儿师范高等专科学校学前教育"</f>
        <v>广西幼儿师范高等专科学校学前教育</v>
      </c>
      <c r="I12" t="str">
        <f>"学前教育"</f>
        <v>学前教育</v>
      </c>
      <c r="J12" t="str">
        <f>"专科无学位"</f>
        <v>专科无学位</v>
      </c>
      <c r="K12" t="str">
        <f t="shared" si="0"/>
        <v>百色市右江区</v>
      </c>
      <c r="L12" t="str">
        <f>"广西省百色市右江区汪甸乡伟阳村那记屯"</f>
        <v>广西省百色市右江区汪甸乡伟阳村那记屯</v>
      </c>
      <c r="M12" t="str">
        <f>"2016.11.01"</f>
        <v>2016.11.01</v>
      </c>
      <c r="N12" t="str">
        <f>"2017.07.01"</f>
        <v>2017.07.01</v>
      </c>
      <c r="O12" t="str">
        <f>"是"</f>
        <v>是</v>
      </c>
      <c r="P12" t="str">
        <f>"1:幼儿园"</f>
        <v>1:幼儿园</v>
      </c>
      <c r="Q12" t="str">
        <f>"暂无"</f>
        <v>暂无</v>
      </c>
      <c r="R12" t="str">
        <f>"2017届毕业生填暂无"</f>
        <v>2017届毕业生填暂无</v>
      </c>
      <c r="S12" t="str">
        <f t="shared" si="3"/>
        <v>小学</v>
      </c>
      <c r="T12" t="str">
        <f>"103:数学"</f>
        <v>103:数学</v>
      </c>
      <c r="U12" t="str">
        <f t="shared" si="1"/>
        <v>通过</v>
      </c>
    </row>
    <row r="13" spans="1:21" x14ac:dyDescent="0.15">
      <c r="A13" t="str">
        <f>"12"</f>
        <v>12</v>
      </c>
      <c r="B13" t="str">
        <f>"罗秋艳"</f>
        <v>罗秋艳</v>
      </c>
      <c r="C13" t="str">
        <f t="shared" si="2"/>
        <v xml:space="preserve">女        </v>
      </c>
      <c r="D13" t="str">
        <f>"壮族"</f>
        <v>壮族</v>
      </c>
      <c r="E13" t="str">
        <f>"广西右江区"</f>
        <v>广西右江区</v>
      </c>
      <c r="F13" t="str">
        <f>"1994年01月"</f>
        <v>1994年01月</v>
      </c>
      <c r="G13" t="str">
        <f t="shared" si="4"/>
        <v>共青团员</v>
      </c>
      <c r="H13" t="str">
        <f>"广西民族大学政治学与行政学"</f>
        <v>广西民族大学政治学与行政学</v>
      </c>
      <c r="I13" t="str">
        <f>"政治学与行政学"</f>
        <v>政治学与行政学</v>
      </c>
      <c r="J13" t="str">
        <f>"本科学士"</f>
        <v>本科学士</v>
      </c>
      <c r="K13" t="str">
        <f t="shared" si="0"/>
        <v>百色市右江区</v>
      </c>
      <c r="L13" t="str">
        <f>"广西百色市右江区阳圩镇孟沙村岩峨屯"</f>
        <v>广西百色市右江区阳圩镇孟沙村岩峨屯</v>
      </c>
      <c r="M13" t="str">
        <f>""</f>
        <v/>
      </c>
      <c r="N13" t="str">
        <f>"2017.06.01"</f>
        <v>2017.06.01</v>
      </c>
      <c r="O13" t="str">
        <f>"是"</f>
        <v>是</v>
      </c>
      <c r="P13" t="str">
        <f>"4:高级中学"</f>
        <v>4:高级中学</v>
      </c>
      <c r="Q13" t="str">
        <f>"2017届毕业生填暂无"</f>
        <v>2017届毕业生填暂无</v>
      </c>
      <c r="R13" t="str">
        <f>"2017届毕业生填暂无"</f>
        <v>2017届毕业生填暂无</v>
      </c>
      <c r="S13" t="str">
        <f>"初中"</f>
        <v>初中</v>
      </c>
      <c r="T13" t="str">
        <f>"299:政治"</f>
        <v>299:政治</v>
      </c>
      <c r="U13" t="str">
        <f t="shared" si="1"/>
        <v>通过</v>
      </c>
    </row>
    <row r="14" spans="1:21" x14ac:dyDescent="0.15">
      <c r="A14" t="str">
        <f>"13"</f>
        <v>13</v>
      </c>
      <c r="B14" t="str">
        <f>"杨春香"</f>
        <v>杨春香</v>
      </c>
      <c r="C14" t="str">
        <f t="shared" si="2"/>
        <v xml:space="preserve">女        </v>
      </c>
      <c r="D14" t="str">
        <f>"汉族"</f>
        <v>汉族</v>
      </c>
      <c r="E14" t="str">
        <f>"广西融水"</f>
        <v>广西融水</v>
      </c>
      <c r="F14" t="str">
        <f>"1994年02月"</f>
        <v>1994年02月</v>
      </c>
      <c r="G14" t="str">
        <f t="shared" si="4"/>
        <v>共青团员</v>
      </c>
      <c r="H14" t="str">
        <f>"百色学院材料化学"</f>
        <v>百色学院材料化学</v>
      </c>
      <c r="I14" t="str">
        <f>"材料化学"</f>
        <v>材料化学</v>
      </c>
      <c r="J14" t="str">
        <f>"本科学士"</f>
        <v>本科学士</v>
      </c>
      <c r="K14" t="str">
        <f t="shared" si="0"/>
        <v>百色市右江区</v>
      </c>
      <c r="L14" t="str">
        <f>"广西省柳州市融水苗族自治县四荣乡永靖村小细屯"</f>
        <v>广西省柳州市融水苗族自治县四荣乡永靖村小细屯</v>
      </c>
      <c r="M14" t="str">
        <f>""</f>
        <v/>
      </c>
      <c r="N14" t="str">
        <f>"2017.06.01"</f>
        <v>2017.06.01</v>
      </c>
      <c r="O14" t="str">
        <f>"不是"</f>
        <v>不是</v>
      </c>
      <c r="P14" t="str">
        <f>"0:暂未取得"</f>
        <v>0:暂未取得</v>
      </c>
      <c r="Q14" t="str">
        <f>"无"</f>
        <v>无</v>
      </c>
      <c r="R14" t="str">
        <f>"无"</f>
        <v>无</v>
      </c>
      <c r="S14" t="str">
        <f>"小学"</f>
        <v>小学</v>
      </c>
      <c r="T14" t="str">
        <f>"103:数学"</f>
        <v>103:数学</v>
      </c>
      <c r="U14" t="str">
        <f t="shared" si="1"/>
        <v>通过</v>
      </c>
    </row>
    <row r="15" spans="1:21" x14ac:dyDescent="0.15">
      <c r="A15" t="str">
        <f>"14"</f>
        <v>14</v>
      </c>
      <c r="B15" t="str">
        <f>"莫家帏"</f>
        <v>莫家帏</v>
      </c>
      <c r="C15" t="str">
        <f t="shared" si="2"/>
        <v xml:space="preserve">女        </v>
      </c>
      <c r="D15" t="str">
        <f>"汉族"</f>
        <v>汉族</v>
      </c>
      <c r="E15" t="str">
        <f>"广西河池"</f>
        <v>广西河池</v>
      </c>
      <c r="F15" t="str">
        <f>"1994年10月"</f>
        <v>1994年10月</v>
      </c>
      <c r="G15" t="str">
        <f t="shared" si="4"/>
        <v>共青团员</v>
      </c>
      <c r="H15" t="str">
        <f>"齐鲁工业大学行政管理"</f>
        <v>齐鲁工业大学行政管理</v>
      </c>
      <c r="I15" t="str">
        <f>"行政管理"</f>
        <v>行政管理</v>
      </c>
      <c r="J15" t="str">
        <f>"本科学士"</f>
        <v>本科学士</v>
      </c>
      <c r="K15" t="str">
        <f t="shared" si="0"/>
        <v>百色市右江区</v>
      </c>
      <c r="L15" t="str">
        <f>"广西壮族自治区河池宜州市龙头乡龙头街299号"</f>
        <v>广西壮族自治区河池宜州市龙头乡龙头街299号</v>
      </c>
      <c r="M15" t="str">
        <f>""</f>
        <v/>
      </c>
      <c r="N15" t="str">
        <f>"2017.06.01"</f>
        <v>2017.06.01</v>
      </c>
      <c r="O15" t="str">
        <f>"不是"</f>
        <v>不是</v>
      </c>
      <c r="P15" t="str">
        <f>"0:暂未取得"</f>
        <v>0:暂未取得</v>
      </c>
      <c r="Q15" t="str">
        <f>"2017届毕业生填暂无"</f>
        <v>2017届毕业生填暂无</v>
      </c>
      <c r="R15" t="str">
        <f>"2017届毕业生填暂无"</f>
        <v>2017届毕业生填暂无</v>
      </c>
      <c r="S15" t="str">
        <f>"小学"</f>
        <v>小学</v>
      </c>
      <c r="T15" t="str">
        <f>"102:语文"</f>
        <v>102:语文</v>
      </c>
      <c r="U15" t="str">
        <f t="shared" si="1"/>
        <v>通过</v>
      </c>
    </row>
    <row r="16" spans="1:21" x14ac:dyDescent="0.15">
      <c r="A16" t="str">
        <f>"15"</f>
        <v>15</v>
      </c>
      <c r="B16" t="str">
        <f>"吴桂珍"</f>
        <v>吴桂珍</v>
      </c>
      <c r="C16" t="str">
        <f t="shared" si="2"/>
        <v xml:space="preserve">女        </v>
      </c>
      <c r="D16" t="str">
        <f>"汉族"</f>
        <v>汉族</v>
      </c>
      <c r="E16" t="str">
        <f>"广西百色"</f>
        <v>广西百色</v>
      </c>
      <c r="F16" t="str">
        <f>"1993年09月"</f>
        <v>1993年09月</v>
      </c>
      <c r="G16" t="str">
        <f t="shared" si="4"/>
        <v>共青团员</v>
      </c>
      <c r="H16" t="str">
        <f>"广西科技大学生物工程"</f>
        <v>广西科技大学生物工程</v>
      </c>
      <c r="I16" t="str">
        <f>"生物工程"</f>
        <v>生物工程</v>
      </c>
      <c r="J16" t="str">
        <f>"本科学士"</f>
        <v>本科学士</v>
      </c>
      <c r="K16" t="str">
        <f t="shared" si="0"/>
        <v>百色市右江区</v>
      </c>
      <c r="L16" t="str">
        <f>"广西百色市凌云县泗城镇陇雅村"</f>
        <v>广西百色市凌云县泗城镇陇雅村</v>
      </c>
      <c r="M16" t="str">
        <f>"2017.05.01"</f>
        <v>2017.05.01</v>
      </c>
      <c r="N16" t="str">
        <f>"2017.07.01"</f>
        <v>2017.07.01</v>
      </c>
      <c r="O16" t="str">
        <f>"不是"</f>
        <v>不是</v>
      </c>
      <c r="P16" t="str">
        <f>"0:暂未取得"</f>
        <v>0:暂未取得</v>
      </c>
      <c r="Q16" t="str">
        <f>"暂无"</f>
        <v>暂无</v>
      </c>
      <c r="R16" t="str">
        <f>"暂无"</f>
        <v>暂无</v>
      </c>
      <c r="S16" t="str">
        <f>"初中"</f>
        <v>初中</v>
      </c>
      <c r="T16" t="str">
        <f>"209:生物"</f>
        <v>209:生物</v>
      </c>
      <c r="U16" t="str">
        <f t="shared" si="1"/>
        <v>通过</v>
      </c>
    </row>
    <row r="17" spans="1:21" x14ac:dyDescent="0.15">
      <c r="A17" t="str">
        <f>"16"</f>
        <v>16</v>
      </c>
      <c r="B17" t="str">
        <f>"赵英秀"</f>
        <v>赵英秀</v>
      </c>
      <c r="C17" t="str">
        <f t="shared" si="2"/>
        <v xml:space="preserve">女        </v>
      </c>
      <c r="D17" t="str">
        <f>"壮族"</f>
        <v>壮族</v>
      </c>
      <c r="E17" t="str">
        <f>"广西田阳"</f>
        <v>广西田阳</v>
      </c>
      <c r="F17" t="str">
        <f>"1994年08月"</f>
        <v>1994年08月</v>
      </c>
      <c r="G17" t="str">
        <f>"中共党员"</f>
        <v>中共党员</v>
      </c>
      <c r="H17" t="str">
        <f>"百色学院人文教育"</f>
        <v>百色学院人文教育</v>
      </c>
      <c r="I17" t="str">
        <f>"人文教育"</f>
        <v>人文教育</v>
      </c>
      <c r="J17" t="str">
        <f>"本科学士"</f>
        <v>本科学士</v>
      </c>
      <c r="K17" t="str">
        <f t="shared" si="0"/>
        <v>百色市右江区</v>
      </c>
      <c r="L17" t="str">
        <f>"广西田阳县田州镇港阳五巷18号"</f>
        <v>广西田阳县田州镇港阳五巷18号</v>
      </c>
      <c r="M17" t="str">
        <f>""</f>
        <v/>
      </c>
      <c r="N17" t="str">
        <f>"2017.06.01"</f>
        <v>2017.06.01</v>
      </c>
      <c r="O17" t="str">
        <f t="shared" ref="O17:O24" si="5">"是"</f>
        <v>是</v>
      </c>
      <c r="P17" t="str">
        <f>"4:高级中学"</f>
        <v>4:高级中学</v>
      </c>
      <c r="Q17" t="str">
        <f>"无"</f>
        <v>无</v>
      </c>
      <c r="R17" t="str">
        <f>"无"</f>
        <v>无</v>
      </c>
      <c r="S17" t="str">
        <f>"初中"</f>
        <v>初中</v>
      </c>
      <c r="T17" t="str">
        <f>"207:地理"</f>
        <v>207:地理</v>
      </c>
      <c r="U17" t="str">
        <f t="shared" si="1"/>
        <v>通过</v>
      </c>
    </row>
    <row r="18" spans="1:21" x14ac:dyDescent="0.15">
      <c r="A18" t="str">
        <f>"17"</f>
        <v>17</v>
      </c>
      <c r="B18" t="str">
        <f>"梁建兰"</f>
        <v>梁建兰</v>
      </c>
      <c r="C18" t="str">
        <f t="shared" si="2"/>
        <v xml:space="preserve">女        </v>
      </c>
      <c r="D18" t="str">
        <f>"汉族"</f>
        <v>汉族</v>
      </c>
      <c r="E18" t="str">
        <f>"广西桂平"</f>
        <v>广西桂平</v>
      </c>
      <c r="F18" t="str">
        <f>"1994年02月"</f>
        <v>1994年02月</v>
      </c>
      <c r="G18" t="str">
        <f t="shared" ref="G18:G30" si="6">"共青团员"</f>
        <v>共青团员</v>
      </c>
      <c r="H18" t="str">
        <f>"百色学院学前教育"</f>
        <v>百色学院学前教育</v>
      </c>
      <c r="I18" t="str">
        <f>"学前教育"</f>
        <v>学前教育</v>
      </c>
      <c r="J18" t="str">
        <f>"专科无学位"</f>
        <v>专科无学位</v>
      </c>
      <c r="K18" t="str">
        <f t="shared" si="0"/>
        <v>百色市右江区</v>
      </c>
      <c r="L18" t="str">
        <f>"广西桂平市大洋镇"</f>
        <v>广西桂平市大洋镇</v>
      </c>
      <c r="M18" t="str">
        <f>"2016.03.01"</f>
        <v>2016.03.01</v>
      </c>
      <c r="N18" t="str">
        <f>"2016.06.01"</f>
        <v>2016.06.01</v>
      </c>
      <c r="O18" t="str">
        <f t="shared" si="5"/>
        <v>是</v>
      </c>
      <c r="P18" t="str">
        <f>"2:小学"</f>
        <v>2:小学</v>
      </c>
      <c r="Q18" t="str">
        <f>"20174560422000102"</f>
        <v>20174560422000102</v>
      </c>
      <c r="R18" t="str">
        <f>"106091201606000276"</f>
        <v>106091201606000276</v>
      </c>
      <c r="S18" t="str">
        <f>"小学"</f>
        <v>小学</v>
      </c>
      <c r="T18" t="str">
        <f>"102:语文"</f>
        <v>102:语文</v>
      </c>
      <c r="U18" t="str">
        <f t="shared" si="1"/>
        <v>通过</v>
      </c>
    </row>
    <row r="19" spans="1:21" x14ac:dyDescent="0.15">
      <c r="A19" t="str">
        <f>"18"</f>
        <v>18</v>
      </c>
      <c r="B19" t="str">
        <f>"陆慧琴"</f>
        <v>陆慧琴</v>
      </c>
      <c r="C19" t="str">
        <f t="shared" si="2"/>
        <v xml:space="preserve">女        </v>
      </c>
      <c r="D19" t="str">
        <f>"壮族"</f>
        <v>壮族</v>
      </c>
      <c r="E19" t="str">
        <f>"广西百色田林县百乐乡"</f>
        <v>广西百色田林县百乐乡</v>
      </c>
      <c r="F19" t="str">
        <f>"1995年05月"</f>
        <v>1995年05月</v>
      </c>
      <c r="G19" t="str">
        <f t="shared" si="6"/>
        <v>共青团员</v>
      </c>
      <c r="H19" t="str">
        <f>"广西师范大学漓江学院体育教育"</f>
        <v>广西师范大学漓江学院体育教育</v>
      </c>
      <c r="I19" t="str">
        <f>"体育教育"</f>
        <v>体育教育</v>
      </c>
      <c r="J19" t="str">
        <f>"本科学士"</f>
        <v>本科学士</v>
      </c>
      <c r="K19" t="str">
        <f t="shared" si="0"/>
        <v>百色市右江区</v>
      </c>
      <c r="L19" t="str">
        <f>"广西田林县百乐乡板干村长麦屯56号"</f>
        <v>广西田林县百乐乡板干村长麦屯56号</v>
      </c>
      <c r="M19" t="str">
        <f>"2016.05.01"</f>
        <v>2016.05.01</v>
      </c>
      <c r="N19" t="str">
        <f>"2017.06.01"</f>
        <v>2017.06.01</v>
      </c>
      <c r="O19" t="str">
        <f t="shared" si="5"/>
        <v>是</v>
      </c>
      <c r="P19" t="str">
        <f>"4:高级中学"</f>
        <v>4:高级中学</v>
      </c>
      <c r="Q19" t="str">
        <f>"2017454009301"</f>
        <v>2017454009301</v>
      </c>
      <c r="R19" t="str">
        <f>"暂无"</f>
        <v>暂无</v>
      </c>
      <c r="S19" t="str">
        <f>"初中"</f>
        <v>初中</v>
      </c>
      <c r="T19" t="str">
        <f>"212:体育"</f>
        <v>212:体育</v>
      </c>
      <c r="U19" t="str">
        <f t="shared" si="1"/>
        <v>通过</v>
      </c>
    </row>
    <row r="20" spans="1:21" x14ac:dyDescent="0.15">
      <c r="A20" t="str">
        <f>"19"</f>
        <v>19</v>
      </c>
      <c r="B20" t="str">
        <f>"黄尚宁"</f>
        <v>黄尚宁</v>
      </c>
      <c r="C20" t="str">
        <f>"男        "</f>
        <v xml:space="preserve">男        </v>
      </c>
      <c r="D20" t="str">
        <f>"汉族"</f>
        <v>汉族</v>
      </c>
      <c r="E20" t="str">
        <f>"广西百色田东县"</f>
        <v>广西百色田东县</v>
      </c>
      <c r="F20" t="str">
        <f>"1992年06月"</f>
        <v>1992年06月</v>
      </c>
      <c r="G20" t="str">
        <f t="shared" si="6"/>
        <v>共青团员</v>
      </c>
      <c r="H20" t="str">
        <f>"玉林师范学院物理学"</f>
        <v>玉林师范学院物理学</v>
      </c>
      <c r="I20" t="str">
        <f>"物理学"</f>
        <v>物理学</v>
      </c>
      <c r="J20" t="str">
        <f>"本科学士"</f>
        <v>本科学士</v>
      </c>
      <c r="K20" t="str">
        <f t="shared" si="0"/>
        <v>百色市右江区</v>
      </c>
      <c r="L20" t="str">
        <f>"广西百色市田东县思林镇民生街25号"</f>
        <v>广西百色市田东县思林镇民生街25号</v>
      </c>
      <c r="M20" t="str">
        <f>""</f>
        <v/>
      </c>
      <c r="N20" t="str">
        <f>"2017.06.01"</f>
        <v>2017.06.01</v>
      </c>
      <c r="O20" t="str">
        <f t="shared" si="5"/>
        <v>是</v>
      </c>
      <c r="P20" t="str">
        <f>"3:初级中学"</f>
        <v>3:初级中学</v>
      </c>
      <c r="Q20" t="str">
        <f>"2017届毕业生填暂无"</f>
        <v>2017届毕业生填暂无</v>
      </c>
      <c r="R20" t="str">
        <f>"2017届毕业生填暂无"</f>
        <v>2017届毕业生填暂无</v>
      </c>
      <c r="S20" t="str">
        <f>"初中"</f>
        <v>初中</v>
      </c>
      <c r="T20" t="str">
        <f>"210:物理"</f>
        <v>210:物理</v>
      </c>
      <c r="U20" t="str">
        <f t="shared" si="1"/>
        <v>通过</v>
      </c>
    </row>
    <row r="21" spans="1:21" x14ac:dyDescent="0.15">
      <c r="A21" t="str">
        <f>"20"</f>
        <v>20</v>
      </c>
      <c r="B21" t="str">
        <f>"岑思瑜"</f>
        <v>岑思瑜</v>
      </c>
      <c r="C21" t="str">
        <f>"女        "</f>
        <v xml:space="preserve">女        </v>
      </c>
      <c r="D21" t="str">
        <f>"壮族"</f>
        <v>壮族</v>
      </c>
      <c r="E21" t="str">
        <f>"广西百色"</f>
        <v>广西百色</v>
      </c>
      <c r="F21" t="str">
        <f>"1994年09月"</f>
        <v>1994年09月</v>
      </c>
      <c r="G21" t="str">
        <f t="shared" si="6"/>
        <v>共青团员</v>
      </c>
      <c r="H21" t="str">
        <f>"百色学院体育教育"</f>
        <v>百色学院体育教育</v>
      </c>
      <c r="I21" t="str">
        <f>"体育教育"</f>
        <v>体育教育</v>
      </c>
      <c r="J21" t="str">
        <f>"本科学士"</f>
        <v>本科学士</v>
      </c>
      <c r="K21" t="str">
        <f t="shared" si="0"/>
        <v>百色市右江区</v>
      </c>
      <c r="L21" t="str">
        <f>"广西百色市右江区龙川镇龙川村百头屯"</f>
        <v>广西百色市右江区龙川镇龙川村百头屯</v>
      </c>
      <c r="M21" t="str">
        <f>""</f>
        <v/>
      </c>
      <c r="N21" t="str">
        <f>"2017.06.01"</f>
        <v>2017.06.01</v>
      </c>
      <c r="O21" t="str">
        <f t="shared" si="5"/>
        <v>是</v>
      </c>
      <c r="P21" t="str">
        <f>"4:高级中学"</f>
        <v>4:高级中学</v>
      </c>
      <c r="Q21" t="str">
        <f>"2017届毕业生填暂无"</f>
        <v>2017届毕业生填暂无</v>
      </c>
      <c r="R21" t="str">
        <f>"无"</f>
        <v>无</v>
      </c>
      <c r="S21" t="str">
        <f>"小学"</f>
        <v>小学</v>
      </c>
      <c r="T21" t="str">
        <f>"106:体育"</f>
        <v>106:体育</v>
      </c>
      <c r="U21" t="str">
        <f t="shared" si="1"/>
        <v>通过</v>
      </c>
    </row>
    <row r="22" spans="1:21" x14ac:dyDescent="0.15">
      <c r="A22" t="str">
        <f>"21"</f>
        <v>21</v>
      </c>
      <c r="B22" t="str">
        <f>"杨滟"</f>
        <v>杨滟</v>
      </c>
      <c r="C22" t="str">
        <f>"女        "</f>
        <v xml:space="preserve">女        </v>
      </c>
      <c r="D22" t="str">
        <f>"汉族"</f>
        <v>汉族</v>
      </c>
      <c r="E22" t="str">
        <f>"广西百色"</f>
        <v>广西百色</v>
      </c>
      <c r="F22" t="str">
        <f>"1998年06月"</f>
        <v>1998年06月</v>
      </c>
      <c r="G22" t="str">
        <f t="shared" si="6"/>
        <v>共青团员</v>
      </c>
      <c r="H22" t="str">
        <f>"百色学院小学教育"</f>
        <v>百色学院小学教育</v>
      </c>
      <c r="I22" t="str">
        <f>"小学教育"</f>
        <v>小学教育</v>
      </c>
      <c r="J22" t="str">
        <f>"专科学士"</f>
        <v>专科学士</v>
      </c>
      <c r="K22" t="str">
        <f t="shared" si="0"/>
        <v>百色市右江区</v>
      </c>
      <c r="L22" t="str">
        <f>"广西壮族自治区百色市右江区四塘镇永靖村平满屯"</f>
        <v>广西壮族自治区百色市右江区四塘镇永靖村平满屯</v>
      </c>
      <c r="M22" t="str">
        <f>""</f>
        <v/>
      </c>
      <c r="N22" t="str">
        <f>"2017.06.01"</f>
        <v>2017.06.01</v>
      </c>
      <c r="O22" t="str">
        <f t="shared" si="5"/>
        <v>是</v>
      </c>
      <c r="P22" t="str">
        <f>"0:暂未取得"</f>
        <v>0:暂未取得</v>
      </c>
      <c r="Q22" t="str">
        <f>"暂无"</f>
        <v>暂无</v>
      </c>
      <c r="R22" t="str">
        <f>"暂无"</f>
        <v>暂无</v>
      </c>
      <c r="S22" t="str">
        <f>"小学"</f>
        <v>小学</v>
      </c>
      <c r="T22" t="str">
        <f>"102:语文"</f>
        <v>102:语文</v>
      </c>
      <c r="U22" t="str">
        <f t="shared" si="1"/>
        <v>通过</v>
      </c>
    </row>
    <row r="23" spans="1:21" x14ac:dyDescent="0.15">
      <c r="A23" t="str">
        <f>"22"</f>
        <v>22</v>
      </c>
      <c r="B23" t="str">
        <f>"李玲艳"</f>
        <v>李玲艳</v>
      </c>
      <c r="C23" t="str">
        <f>"女        "</f>
        <v xml:space="preserve">女        </v>
      </c>
      <c r="D23" t="str">
        <f>"汉族"</f>
        <v>汉族</v>
      </c>
      <c r="E23" t="str">
        <f>"广西北海市"</f>
        <v>广西北海市</v>
      </c>
      <c r="F23" t="str">
        <f>"1992年05月"</f>
        <v>1992年05月</v>
      </c>
      <c r="G23" t="str">
        <f t="shared" si="6"/>
        <v>共青团员</v>
      </c>
      <c r="H23" t="str">
        <f>"广西百色学院人文教育"</f>
        <v>广西百色学院人文教育</v>
      </c>
      <c r="I23" t="str">
        <f>"人文教育"</f>
        <v>人文教育</v>
      </c>
      <c r="J23" t="str">
        <f t="shared" ref="J23:J35" si="7">"本科学士"</f>
        <v>本科学士</v>
      </c>
      <c r="K23" t="str">
        <f t="shared" si="0"/>
        <v>百色市右江区</v>
      </c>
      <c r="L23" t="str">
        <f>"广西北海市铁山港区南康镇夏塘村委会居塘村"</f>
        <v>广西北海市铁山港区南康镇夏塘村委会居塘村</v>
      </c>
      <c r="M23" t="str">
        <f>""</f>
        <v/>
      </c>
      <c r="N23" t="str">
        <f>"2017.07.01"</f>
        <v>2017.07.01</v>
      </c>
      <c r="O23" t="str">
        <f t="shared" si="5"/>
        <v>是</v>
      </c>
      <c r="P23" t="str">
        <f>"3:初级中学"</f>
        <v>3:初级中学</v>
      </c>
      <c r="Q23" t="str">
        <f>"暂无"</f>
        <v>暂无</v>
      </c>
      <c r="R23" t="str">
        <f>"暂无"</f>
        <v>暂无</v>
      </c>
      <c r="S23" t="str">
        <f>"初中"</f>
        <v>初中</v>
      </c>
      <c r="T23" t="str">
        <f>"207:地理"</f>
        <v>207:地理</v>
      </c>
      <c r="U23" t="str">
        <f t="shared" si="1"/>
        <v>通过</v>
      </c>
    </row>
    <row r="24" spans="1:21" x14ac:dyDescent="0.15">
      <c r="A24" t="str">
        <f>"23"</f>
        <v>23</v>
      </c>
      <c r="B24" t="str">
        <f>"谢佳成"</f>
        <v>谢佳成</v>
      </c>
      <c r="C24" t="str">
        <f>"男        "</f>
        <v xml:space="preserve">男        </v>
      </c>
      <c r="D24" t="str">
        <f>"汉族"</f>
        <v>汉族</v>
      </c>
      <c r="E24" t="str">
        <f>"广西乐业"</f>
        <v>广西乐业</v>
      </c>
      <c r="F24" t="str">
        <f>"1994年10月"</f>
        <v>1994年10月</v>
      </c>
      <c r="G24" t="str">
        <f t="shared" si="6"/>
        <v>共青团员</v>
      </c>
      <c r="H24" t="str">
        <f>"广西师范学院师园学院汉语言文学"</f>
        <v>广西师范学院师园学院汉语言文学</v>
      </c>
      <c r="I24" t="str">
        <f>"汉语言文学"</f>
        <v>汉语言文学</v>
      </c>
      <c r="J24" t="str">
        <f t="shared" si="7"/>
        <v>本科学士</v>
      </c>
      <c r="K24" t="str">
        <f t="shared" si="0"/>
        <v>百色市右江区</v>
      </c>
      <c r="L24" t="str">
        <f>"广西百色市迎龙区b12-1号龙祥锦苑住宅区"</f>
        <v>广西百色市迎龙区b12-1号龙祥锦苑住宅区</v>
      </c>
      <c r="M24" t="str">
        <f>""</f>
        <v/>
      </c>
      <c r="N24" t="str">
        <f>"2017.06.01"</f>
        <v>2017.06.01</v>
      </c>
      <c r="O24" t="str">
        <f t="shared" si="5"/>
        <v>是</v>
      </c>
      <c r="P24" t="str">
        <f>"3:初级中学"</f>
        <v>3:初级中学</v>
      </c>
      <c r="Q24" t="str">
        <f>"无"</f>
        <v>无</v>
      </c>
      <c r="R24" t="str">
        <f>"无"</f>
        <v>无</v>
      </c>
      <c r="S24" t="str">
        <f>"初中"</f>
        <v>初中</v>
      </c>
      <c r="T24" t="str">
        <f>"202:语文"</f>
        <v>202:语文</v>
      </c>
      <c r="U24" t="str">
        <f t="shared" si="1"/>
        <v>通过</v>
      </c>
    </row>
    <row r="25" spans="1:21" x14ac:dyDescent="0.15">
      <c r="A25" t="str">
        <f>"24"</f>
        <v>24</v>
      </c>
      <c r="B25" t="str">
        <f>"杨小艳"</f>
        <v>杨小艳</v>
      </c>
      <c r="C25" t="str">
        <f>"女        "</f>
        <v xml:space="preserve">女        </v>
      </c>
      <c r="D25" t="str">
        <f>"汉族"</f>
        <v>汉族</v>
      </c>
      <c r="E25" t="str">
        <f>"广西凌云县"</f>
        <v>广西凌云县</v>
      </c>
      <c r="F25" t="str">
        <f>"1992年11月"</f>
        <v>1992年11月</v>
      </c>
      <c r="G25" t="str">
        <f t="shared" si="6"/>
        <v>共青团员</v>
      </c>
      <c r="H25" t="str">
        <f>"广西师范学院汉语言文学"</f>
        <v>广西师范学院汉语言文学</v>
      </c>
      <c r="I25" t="str">
        <f>"汉语言文学"</f>
        <v>汉语言文学</v>
      </c>
      <c r="J25" t="str">
        <f t="shared" si="7"/>
        <v>本科学士</v>
      </c>
      <c r="K25" t="str">
        <f t="shared" si="0"/>
        <v>百色市右江区</v>
      </c>
      <c r="L25" t="str">
        <f>"广西百色市凌云县逻楼镇界福村竹山屯"</f>
        <v>广西百色市凌云县逻楼镇界福村竹山屯</v>
      </c>
      <c r="M25" t="str">
        <f>"2016.09.01"</f>
        <v>2016.09.01</v>
      </c>
      <c r="N25" t="str">
        <f>"2016.06.01"</f>
        <v>2016.06.01</v>
      </c>
      <c r="O25" t="str">
        <f>"不是"</f>
        <v>不是</v>
      </c>
      <c r="P25" t="str">
        <f>"3:初级中学"</f>
        <v>3:初级中学</v>
      </c>
      <c r="Q25" t="str">
        <f>"20164501532000518"</f>
        <v>20164501532000518</v>
      </c>
      <c r="R25" t="str">
        <f>"106031201605000180"</f>
        <v>106031201605000180</v>
      </c>
      <c r="S25" t="str">
        <f>"小学"</f>
        <v>小学</v>
      </c>
      <c r="T25" t="str">
        <f>"102:语文"</f>
        <v>102:语文</v>
      </c>
      <c r="U25" t="str">
        <f t="shared" si="1"/>
        <v>通过</v>
      </c>
    </row>
    <row r="26" spans="1:21" x14ac:dyDescent="0.15">
      <c r="A26" t="str">
        <f>"25"</f>
        <v>25</v>
      </c>
      <c r="B26" t="str">
        <f>"邓思彗"</f>
        <v>邓思彗</v>
      </c>
      <c r="C26" t="str">
        <f>"男        "</f>
        <v xml:space="preserve">男        </v>
      </c>
      <c r="D26" t="str">
        <f>"汉族"</f>
        <v>汉族</v>
      </c>
      <c r="E26" t="str">
        <f>"广西"</f>
        <v>广西</v>
      </c>
      <c r="F26" t="str">
        <f>"1991年12月"</f>
        <v>1991年12月</v>
      </c>
      <c r="G26" t="str">
        <f t="shared" si="6"/>
        <v>共青团员</v>
      </c>
      <c r="H26" t="str">
        <f>"钦州学院体育教育"</f>
        <v>钦州学院体育教育</v>
      </c>
      <c r="I26" t="str">
        <f>"体育教育"</f>
        <v>体育教育</v>
      </c>
      <c r="J26" t="str">
        <f t="shared" si="7"/>
        <v>本科学士</v>
      </c>
      <c r="K26" t="str">
        <f t="shared" si="0"/>
        <v>百色市右江区</v>
      </c>
      <c r="L26" t="str">
        <f>"广西壮族自治区百色市凌云县逻楼镇瓢村村麦子坡屯"</f>
        <v>广西壮族自治区百色市凌云县逻楼镇瓢村村麦子坡屯</v>
      </c>
      <c r="M26" t="str">
        <f>"2014.03.01"</f>
        <v>2014.03.01</v>
      </c>
      <c r="N26" t="str">
        <f>"2014.06.01"</f>
        <v>2014.06.01</v>
      </c>
      <c r="O26" t="str">
        <f>"是"</f>
        <v>是</v>
      </c>
      <c r="P26" t="str">
        <f>"4:高级中学"</f>
        <v>4:高级中学</v>
      </c>
      <c r="Q26" t="str">
        <f>"20144570041000198"</f>
        <v>20144570041000198</v>
      </c>
      <c r="R26" t="str">
        <f>"116071201405001073"</f>
        <v>116071201405001073</v>
      </c>
      <c r="S26" t="str">
        <f>"初中"</f>
        <v>初中</v>
      </c>
      <c r="T26" t="str">
        <f>"212:体育"</f>
        <v>212:体育</v>
      </c>
      <c r="U26" t="str">
        <f t="shared" si="1"/>
        <v>通过</v>
      </c>
    </row>
    <row r="27" spans="1:21" x14ac:dyDescent="0.15">
      <c r="A27" t="str">
        <f>"26"</f>
        <v>26</v>
      </c>
      <c r="B27" t="str">
        <f>"周盈"</f>
        <v>周盈</v>
      </c>
      <c r="C27" t="str">
        <f t="shared" ref="C27:C35" si="8">"女        "</f>
        <v xml:space="preserve">女        </v>
      </c>
      <c r="D27" t="str">
        <f>"壮族"</f>
        <v>壮族</v>
      </c>
      <c r="E27" t="str">
        <f>"广西百色市右江区"</f>
        <v>广西百色市右江区</v>
      </c>
      <c r="F27" t="str">
        <f>"1994年11月"</f>
        <v>1994年11月</v>
      </c>
      <c r="G27" t="str">
        <f t="shared" si="6"/>
        <v>共青团员</v>
      </c>
      <c r="H27" t="str">
        <f>"广西师范学院小学教育"</f>
        <v>广西师范学院小学教育</v>
      </c>
      <c r="I27" t="str">
        <f>"小学教育"</f>
        <v>小学教育</v>
      </c>
      <c r="J27" t="str">
        <f t="shared" si="7"/>
        <v>本科学士</v>
      </c>
      <c r="K27" t="str">
        <f t="shared" si="0"/>
        <v>百色市右江区</v>
      </c>
      <c r="L27" t="str">
        <f>"广西百色市右江区火车站福源苑8栋一单元"</f>
        <v>广西百色市右江区火车站福源苑8栋一单元</v>
      </c>
      <c r="M27" t="str">
        <f>""</f>
        <v/>
      </c>
      <c r="N27" t="str">
        <f>"2017.07.01"</f>
        <v>2017.07.01</v>
      </c>
      <c r="O27" t="str">
        <f>"是"</f>
        <v>是</v>
      </c>
      <c r="P27" t="str">
        <f>"2:小学"</f>
        <v>2:小学</v>
      </c>
      <c r="Q27" t="str">
        <f>"2017届毕业生填暂无"</f>
        <v>2017届毕业生填暂无</v>
      </c>
      <c r="R27" t="str">
        <f>"2017届毕业生填暂无"</f>
        <v>2017届毕业生填暂无</v>
      </c>
      <c r="S27" t="str">
        <f>"小学"</f>
        <v>小学</v>
      </c>
      <c r="T27" t="str">
        <f>"103:数学"</f>
        <v>103:数学</v>
      </c>
      <c r="U27" t="str">
        <f t="shared" si="1"/>
        <v>通过</v>
      </c>
    </row>
    <row r="28" spans="1:21" x14ac:dyDescent="0.15">
      <c r="A28" t="str">
        <f>"27"</f>
        <v>27</v>
      </c>
      <c r="B28" t="str">
        <f>"许馨莹"</f>
        <v>许馨莹</v>
      </c>
      <c r="C28" t="str">
        <f t="shared" si="8"/>
        <v xml:space="preserve">女        </v>
      </c>
      <c r="D28" t="str">
        <f>"壮族"</f>
        <v>壮族</v>
      </c>
      <c r="E28" t="str">
        <f>"广西靖西"</f>
        <v>广西靖西</v>
      </c>
      <c r="F28" t="str">
        <f>"1994年07月"</f>
        <v>1994年07月</v>
      </c>
      <c r="G28" t="str">
        <f t="shared" si="6"/>
        <v>共青团员</v>
      </c>
      <c r="H28" t="str">
        <f>"广西民族大学物理学"</f>
        <v>广西民族大学物理学</v>
      </c>
      <c r="I28" t="str">
        <f>"物理学"</f>
        <v>物理学</v>
      </c>
      <c r="J28" t="str">
        <f t="shared" si="7"/>
        <v>本科学士</v>
      </c>
      <c r="K28" t="str">
        <f t="shared" si="0"/>
        <v>百色市右江区</v>
      </c>
      <c r="L28" t="str">
        <f>"广西靖西市新靖镇常富村天富屯"</f>
        <v>广西靖西市新靖镇常富村天富屯</v>
      </c>
      <c r="M28" t="str">
        <f>"2017.04.01"</f>
        <v>2017.04.01</v>
      </c>
      <c r="N28" t="str">
        <f>"2017.07.01"</f>
        <v>2017.07.01</v>
      </c>
      <c r="O28" t="str">
        <f>"是"</f>
        <v>是</v>
      </c>
      <c r="P28" t="str">
        <f>"0:暂未取得"</f>
        <v>0:暂未取得</v>
      </c>
      <c r="Q28" t="str">
        <f>"暂无"</f>
        <v>暂无</v>
      </c>
      <c r="R28" t="str">
        <f>"暂无"</f>
        <v>暂无</v>
      </c>
      <c r="S28" t="str">
        <f>"初中"</f>
        <v>初中</v>
      </c>
      <c r="T28" t="str">
        <f>"210:物理"</f>
        <v>210:物理</v>
      </c>
      <c r="U28" t="str">
        <f t="shared" si="1"/>
        <v>通过</v>
      </c>
    </row>
    <row r="29" spans="1:21" x14ac:dyDescent="0.15">
      <c r="A29" t="str">
        <f>"28"</f>
        <v>28</v>
      </c>
      <c r="B29" t="str">
        <f>"胡娟娟"</f>
        <v>胡娟娟</v>
      </c>
      <c r="C29" t="str">
        <f t="shared" si="8"/>
        <v xml:space="preserve">女        </v>
      </c>
      <c r="D29" t="str">
        <f>"汉族"</f>
        <v>汉族</v>
      </c>
      <c r="E29" t="str">
        <f>"甘肃礼县"</f>
        <v>甘肃礼县</v>
      </c>
      <c r="F29" t="str">
        <f>"1993年06月"</f>
        <v>1993年06月</v>
      </c>
      <c r="G29" t="str">
        <f t="shared" si="6"/>
        <v>共青团员</v>
      </c>
      <c r="H29" t="str">
        <f>"广西百色学院音乐表演"</f>
        <v>广西百色学院音乐表演</v>
      </c>
      <c r="I29" t="str">
        <f>"音乐表演"</f>
        <v>音乐表演</v>
      </c>
      <c r="J29" t="str">
        <f t="shared" si="7"/>
        <v>本科学士</v>
      </c>
      <c r="K29" t="str">
        <f t="shared" si="0"/>
        <v>百色市右江区</v>
      </c>
      <c r="L29" t="str">
        <f>"甘肃省陇南市礼县宽川乡"</f>
        <v>甘肃省陇南市礼县宽川乡</v>
      </c>
      <c r="M29" t="str">
        <f>"2017.03.01"</f>
        <v>2017.03.01</v>
      </c>
      <c r="N29" t="str">
        <f>"2017.06.01"</f>
        <v>2017.06.01</v>
      </c>
      <c r="O29" t="str">
        <f>"不是"</f>
        <v>不是</v>
      </c>
      <c r="P29" t="str">
        <f>"3:初级中学"</f>
        <v>3:初级中学</v>
      </c>
      <c r="Q29" t="str">
        <f>"2017届毕业生填暂无"</f>
        <v>2017届毕业生填暂无</v>
      </c>
      <c r="R29" t="str">
        <f>"2017届毕业生填暂无"</f>
        <v>2017届毕业生填暂无</v>
      </c>
      <c r="S29" t="str">
        <f>"小学"</f>
        <v>小学</v>
      </c>
      <c r="T29" t="str">
        <f>"107:音乐"</f>
        <v>107:音乐</v>
      </c>
      <c r="U29" t="str">
        <f t="shared" si="1"/>
        <v>通过</v>
      </c>
    </row>
    <row r="30" spans="1:21" x14ac:dyDescent="0.15">
      <c r="A30" t="str">
        <f>"29"</f>
        <v>29</v>
      </c>
      <c r="B30" t="str">
        <f>"黄微微"</f>
        <v>黄微微</v>
      </c>
      <c r="C30" t="str">
        <f t="shared" si="8"/>
        <v xml:space="preserve">女        </v>
      </c>
      <c r="D30" t="str">
        <f>"壮族"</f>
        <v>壮族</v>
      </c>
      <c r="E30" t="str">
        <f>"广西百色市右江区"</f>
        <v>广西百色市右江区</v>
      </c>
      <c r="F30" t="str">
        <f>"1994年11月"</f>
        <v>1994年11月</v>
      </c>
      <c r="G30" t="str">
        <f t="shared" si="6"/>
        <v>共青团员</v>
      </c>
      <c r="H30" t="str">
        <f>"广西师范大学漓江学院汉语言文学"</f>
        <v>广西师范大学漓江学院汉语言文学</v>
      </c>
      <c r="I30" t="str">
        <f>"汉语言文学"</f>
        <v>汉语言文学</v>
      </c>
      <c r="J30" t="str">
        <f t="shared" si="7"/>
        <v>本科学士</v>
      </c>
      <c r="K30" t="str">
        <f t="shared" si="0"/>
        <v>百色市右江区</v>
      </c>
      <c r="L30" t="str">
        <f>"广西百色市右江区东笋五组"</f>
        <v>广西百色市右江区东笋五组</v>
      </c>
      <c r="M30" t="str">
        <f>""</f>
        <v/>
      </c>
      <c r="N30" t="str">
        <f>"2017.06.01"</f>
        <v>2017.06.01</v>
      </c>
      <c r="O30" t="str">
        <f>"是"</f>
        <v>是</v>
      </c>
      <c r="P30" t="str">
        <f>"3:初级中学"</f>
        <v>3:初级中学</v>
      </c>
      <c r="Q30" t="str">
        <f t="shared" ref="Q30:R32" si="9">"暂无"</f>
        <v>暂无</v>
      </c>
      <c r="R30" t="str">
        <f t="shared" si="9"/>
        <v>暂无</v>
      </c>
      <c r="S30" t="str">
        <f>"初中"</f>
        <v>初中</v>
      </c>
      <c r="T30" t="str">
        <f>"202:语文"</f>
        <v>202:语文</v>
      </c>
      <c r="U30" t="str">
        <f t="shared" si="1"/>
        <v>通过</v>
      </c>
    </row>
    <row r="31" spans="1:21" x14ac:dyDescent="0.15">
      <c r="A31" t="str">
        <f>"30"</f>
        <v>30</v>
      </c>
      <c r="B31" t="str">
        <f>"马靖蔚"</f>
        <v>马靖蔚</v>
      </c>
      <c r="C31" t="str">
        <f t="shared" si="8"/>
        <v xml:space="preserve">女        </v>
      </c>
      <c r="D31" t="str">
        <f>"壮族"</f>
        <v>壮族</v>
      </c>
      <c r="E31" t="str">
        <f>"广西百色市那坡县"</f>
        <v>广西百色市那坡县</v>
      </c>
      <c r="F31" t="str">
        <f>"1995年05月"</f>
        <v>1995年05月</v>
      </c>
      <c r="G31" t="str">
        <f>"中共党员"</f>
        <v>中共党员</v>
      </c>
      <c r="H31" t="str">
        <f>"广西艺术学院艺术教育"</f>
        <v>广西艺术学院艺术教育</v>
      </c>
      <c r="I31" t="str">
        <f>"艺术教育"</f>
        <v>艺术教育</v>
      </c>
      <c r="J31" t="str">
        <f t="shared" si="7"/>
        <v>本科学士</v>
      </c>
      <c r="K31" t="str">
        <f t="shared" si="0"/>
        <v>百色市右江区</v>
      </c>
      <c r="L31" t="str">
        <f>"广西百色市那坡县卧虹1巷02号"</f>
        <v>广西百色市那坡县卧虹1巷02号</v>
      </c>
      <c r="M31" t="str">
        <f>""</f>
        <v/>
      </c>
      <c r="N31" t="str">
        <f>"2017.06.01"</f>
        <v>2017.06.01</v>
      </c>
      <c r="O31" t="str">
        <f>"是"</f>
        <v>是</v>
      </c>
      <c r="P31" t="str">
        <f>"0:暂未取得"</f>
        <v>0:暂未取得</v>
      </c>
      <c r="Q31" t="str">
        <f t="shared" si="9"/>
        <v>暂无</v>
      </c>
      <c r="R31" t="str">
        <f t="shared" si="9"/>
        <v>暂无</v>
      </c>
      <c r="S31" t="str">
        <f>"小学"</f>
        <v>小学</v>
      </c>
      <c r="T31" t="str">
        <f>"107:音乐"</f>
        <v>107:音乐</v>
      </c>
      <c r="U31" t="str">
        <f t="shared" si="1"/>
        <v>通过</v>
      </c>
    </row>
    <row r="32" spans="1:21" x14ac:dyDescent="0.15">
      <c r="A32" t="str">
        <f>"31"</f>
        <v>31</v>
      </c>
      <c r="B32" t="str">
        <f>"覃小芳"</f>
        <v>覃小芳</v>
      </c>
      <c r="C32" t="str">
        <f t="shared" si="8"/>
        <v xml:space="preserve">女        </v>
      </c>
      <c r="D32" t="str">
        <f>"壮族"</f>
        <v>壮族</v>
      </c>
      <c r="E32" t="str">
        <f>"百色市田东县"</f>
        <v>百色市田东县</v>
      </c>
      <c r="F32" t="str">
        <f>"1994年06月"</f>
        <v>1994年06月</v>
      </c>
      <c r="G32" t="str">
        <f>"中共党员"</f>
        <v>中共党员</v>
      </c>
      <c r="H32" t="str">
        <f>"广西民族师范学院旅游管理"</f>
        <v>广西民族师范学院旅游管理</v>
      </c>
      <c r="I32" t="str">
        <f>"旅游管理"</f>
        <v>旅游管理</v>
      </c>
      <c r="J32" t="str">
        <f t="shared" si="7"/>
        <v>本科学士</v>
      </c>
      <c r="K32" t="str">
        <f t="shared" si="0"/>
        <v>百色市右江区</v>
      </c>
      <c r="L32" t="str">
        <f>"广西百色市田东县朔良镇那加村"</f>
        <v>广西百色市田东县朔良镇那加村</v>
      </c>
      <c r="M32" t="str">
        <f>"2017.02.01"</f>
        <v>2017.02.01</v>
      </c>
      <c r="N32" t="str">
        <f>"2017.07.01"</f>
        <v>2017.07.01</v>
      </c>
      <c r="O32" t="str">
        <f>"不是"</f>
        <v>不是</v>
      </c>
      <c r="P32" t="str">
        <f>"2:小学"</f>
        <v>2:小学</v>
      </c>
      <c r="Q32" t="str">
        <f t="shared" si="9"/>
        <v>暂无</v>
      </c>
      <c r="R32" t="str">
        <f t="shared" si="9"/>
        <v>暂无</v>
      </c>
      <c r="S32" t="str">
        <f>"小学"</f>
        <v>小学</v>
      </c>
      <c r="T32" t="str">
        <f>"103:数学"</f>
        <v>103:数学</v>
      </c>
      <c r="U32" t="str">
        <f t="shared" si="1"/>
        <v>通过</v>
      </c>
    </row>
    <row r="33" spans="1:21" x14ac:dyDescent="0.15">
      <c r="A33" t="str">
        <f>"32"</f>
        <v>32</v>
      </c>
      <c r="B33" t="str">
        <f>"秦炎娟"</f>
        <v>秦炎娟</v>
      </c>
      <c r="C33" t="str">
        <f t="shared" si="8"/>
        <v xml:space="preserve">女        </v>
      </c>
      <c r="D33" t="str">
        <f>"汉族"</f>
        <v>汉族</v>
      </c>
      <c r="E33" t="str">
        <f>"广西桂平"</f>
        <v>广西桂平</v>
      </c>
      <c r="F33" t="str">
        <f>"1992年12月"</f>
        <v>1992年12月</v>
      </c>
      <c r="G33" t="str">
        <f>"共青团员"</f>
        <v>共青团员</v>
      </c>
      <c r="H33" t="str">
        <f>"百色学院英语"</f>
        <v>百色学院英语</v>
      </c>
      <c r="I33" t="str">
        <f>"英语"</f>
        <v>英语</v>
      </c>
      <c r="J33" t="str">
        <f t="shared" si="7"/>
        <v>本科学士</v>
      </c>
      <c r="K33" t="str">
        <f t="shared" si="0"/>
        <v>百色市右江区</v>
      </c>
      <c r="L33" t="str">
        <f>"广西桂平市罗秀镇路棠村圳边队5号"</f>
        <v>广西桂平市罗秀镇路棠村圳边队5号</v>
      </c>
      <c r="M33" t="str">
        <f>"2017.03.01"</f>
        <v>2017.03.01</v>
      </c>
      <c r="N33" t="str">
        <f>"2017.07.01"</f>
        <v>2017.07.01</v>
      </c>
      <c r="O33" t="str">
        <f>"是"</f>
        <v>是</v>
      </c>
      <c r="P33" t="str">
        <f>"3:初级中学"</f>
        <v>3:初级中学</v>
      </c>
      <c r="Q33" t="str">
        <f>"无"</f>
        <v>无</v>
      </c>
      <c r="R33" t="str">
        <f>"无"</f>
        <v>无</v>
      </c>
      <c r="S33" t="str">
        <f>"初中"</f>
        <v>初中</v>
      </c>
      <c r="T33" t="str">
        <f>"204:英语"</f>
        <v>204:英语</v>
      </c>
      <c r="U33" t="str">
        <f t="shared" si="1"/>
        <v>通过</v>
      </c>
    </row>
    <row r="34" spans="1:21" x14ac:dyDescent="0.15">
      <c r="A34" t="str">
        <f>"33"</f>
        <v>33</v>
      </c>
      <c r="B34" t="str">
        <f>"苏群琨"</f>
        <v>苏群琨</v>
      </c>
      <c r="C34" t="str">
        <f t="shared" si="8"/>
        <v xml:space="preserve">女        </v>
      </c>
      <c r="D34" t="str">
        <f>"壮族"</f>
        <v>壮族</v>
      </c>
      <c r="E34" t="str">
        <f>"广西"</f>
        <v>广西</v>
      </c>
      <c r="F34" t="str">
        <f>"1993年07月"</f>
        <v>1993年07月</v>
      </c>
      <c r="G34" t="str">
        <f>"共青团员"</f>
        <v>共青团员</v>
      </c>
      <c r="H34" t="str">
        <f>"重庆师范大学化学师范"</f>
        <v>重庆师范大学化学师范</v>
      </c>
      <c r="I34" t="str">
        <f>"化学师范"</f>
        <v>化学师范</v>
      </c>
      <c r="J34" t="str">
        <f t="shared" si="7"/>
        <v>本科学士</v>
      </c>
      <c r="K34" t="str">
        <f t="shared" si="0"/>
        <v>百色市右江区</v>
      </c>
      <c r="L34" t="str">
        <f>"广西百色市德保县城关镇百登村腾胶屯4号"</f>
        <v>广西百色市德保县城关镇百登村腾胶屯4号</v>
      </c>
      <c r="M34" t="str">
        <f>"2016.09.01"</f>
        <v>2016.09.01</v>
      </c>
      <c r="N34" t="str">
        <f>"2016.06.01"</f>
        <v>2016.06.01</v>
      </c>
      <c r="O34" t="str">
        <f>"是"</f>
        <v>是</v>
      </c>
      <c r="P34" t="str">
        <f>"4:高级中学"</f>
        <v>4:高级中学</v>
      </c>
      <c r="Q34" t="str">
        <f>"20165000142009225"</f>
        <v>20165000142009225</v>
      </c>
      <c r="R34" t="str">
        <f>"106371201605002144"</f>
        <v>106371201605002144</v>
      </c>
      <c r="S34" t="str">
        <f>"初中"</f>
        <v>初中</v>
      </c>
      <c r="T34" t="str">
        <f>"211:化学"</f>
        <v>211:化学</v>
      </c>
      <c r="U34" t="str">
        <f t="shared" si="1"/>
        <v>通过</v>
      </c>
    </row>
    <row r="35" spans="1:21" x14ac:dyDescent="0.15">
      <c r="A35" t="str">
        <f>"34"</f>
        <v>34</v>
      </c>
      <c r="B35" t="str">
        <f>"王彩瓢"</f>
        <v>王彩瓢</v>
      </c>
      <c r="C35" t="str">
        <f t="shared" si="8"/>
        <v xml:space="preserve">女        </v>
      </c>
      <c r="D35" t="str">
        <f>"壮族"</f>
        <v>壮族</v>
      </c>
      <c r="E35" t="str">
        <f>"广西百色"</f>
        <v>广西百色</v>
      </c>
      <c r="F35" t="str">
        <f>"1994年05月"</f>
        <v>1994年05月</v>
      </c>
      <c r="G35" t="str">
        <f>"共青团员"</f>
        <v>共青团员</v>
      </c>
      <c r="H35" t="str">
        <f>"梧州学院汉语言文学"</f>
        <v>梧州学院汉语言文学</v>
      </c>
      <c r="I35" t="str">
        <f>"汉语言文学"</f>
        <v>汉语言文学</v>
      </c>
      <c r="J35" t="str">
        <f t="shared" si="7"/>
        <v>本科学士</v>
      </c>
      <c r="K35" t="str">
        <f t="shared" si="0"/>
        <v>百色市右江区</v>
      </c>
      <c r="L35" t="str">
        <f>"广西隆林各族自治县者浪乡坡合村牛棚屯022号"</f>
        <v>广西隆林各族自治县者浪乡坡合村牛棚屯022号</v>
      </c>
      <c r="M35" t="str">
        <f>""</f>
        <v/>
      </c>
      <c r="N35" t="str">
        <f>"2017.06.01"</f>
        <v>2017.06.01</v>
      </c>
      <c r="O35" t="str">
        <f>"不是"</f>
        <v>不是</v>
      </c>
      <c r="P35" t="str">
        <f>"0:暂未取得"</f>
        <v>0:暂未取得</v>
      </c>
      <c r="Q35" t="str">
        <f>"无"</f>
        <v>无</v>
      </c>
      <c r="R35" t="str">
        <f>"无"</f>
        <v>无</v>
      </c>
      <c r="S35" t="str">
        <f>"小学"</f>
        <v>小学</v>
      </c>
      <c r="T35" t="str">
        <f>"102:语文"</f>
        <v>102:语文</v>
      </c>
      <c r="U35" t="str">
        <f t="shared" si="1"/>
        <v>通过</v>
      </c>
    </row>
    <row r="36" spans="1:21" x14ac:dyDescent="0.15">
      <c r="A36" t="str">
        <f>"35"</f>
        <v>35</v>
      </c>
      <c r="B36" t="str">
        <f>"王斌"</f>
        <v>王斌</v>
      </c>
      <c r="C36" t="str">
        <f>"男        "</f>
        <v xml:space="preserve">男        </v>
      </c>
      <c r="D36" t="str">
        <f>"壮族"</f>
        <v>壮族</v>
      </c>
      <c r="E36" t="str">
        <f>"百色市右江区"</f>
        <v>百色市右江区</v>
      </c>
      <c r="F36" t="str">
        <f>"1995年08月"</f>
        <v>1995年08月</v>
      </c>
      <c r="G36" t="str">
        <f>"群众"</f>
        <v>群众</v>
      </c>
      <c r="H36" t="str">
        <f>"南宁地区教育学院语文教育"</f>
        <v>南宁地区教育学院语文教育</v>
      </c>
      <c r="I36" t="str">
        <f>"语文教育"</f>
        <v>语文教育</v>
      </c>
      <c r="J36" t="str">
        <f>"专科无学位"</f>
        <v>专科无学位</v>
      </c>
      <c r="K36" t="str">
        <f t="shared" si="0"/>
        <v>百色市右江区</v>
      </c>
      <c r="L36" t="str">
        <f>"广西壮族自治区百色市右江区汪甸瑶族乡塘兴村坡红屯9号"</f>
        <v>广西壮族自治区百色市右江区汪甸瑶族乡塘兴村坡红屯9号</v>
      </c>
      <c r="M36" t="str">
        <f>"2017.02.01"</f>
        <v>2017.02.01</v>
      </c>
      <c r="N36" t="str">
        <f>"2017.07.01"</f>
        <v>2017.07.01</v>
      </c>
      <c r="O36" t="str">
        <f>"是"</f>
        <v>是</v>
      </c>
      <c r="P36" t="str">
        <f>"0:暂未取得"</f>
        <v>0:暂未取得</v>
      </c>
      <c r="Q36" t="str">
        <f>"暂无"</f>
        <v>暂无</v>
      </c>
      <c r="R36" t="str">
        <f>"暂无"</f>
        <v>暂无</v>
      </c>
      <c r="S36" t="str">
        <f>"小学"</f>
        <v>小学</v>
      </c>
      <c r="T36" t="str">
        <f>"102:语文"</f>
        <v>102:语文</v>
      </c>
      <c r="U36" t="str">
        <f t="shared" si="1"/>
        <v>通过</v>
      </c>
    </row>
    <row r="37" spans="1:21" x14ac:dyDescent="0.15">
      <c r="A37" t="str">
        <f>"36"</f>
        <v>36</v>
      </c>
      <c r="B37" t="str">
        <f>"黄于珊"</f>
        <v>黄于珊</v>
      </c>
      <c r="C37" t="str">
        <f>"女        "</f>
        <v xml:space="preserve">女        </v>
      </c>
      <c r="D37" t="str">
        <f>"壮族"</f>
        <v>壮族</v>
      </c>
      <c r="E37" t="str">
        <f>"广西百色市"</f>
        <v>广西百色市</v>
      </c>
      <c r="F37" t="str">
        <f>"1993年09月"</f>
        <v>1993年09月</v>
      </c>
      <c r="G37" t="str">
        <f t="shared" ref="G37:G43" si="10">"共青团员"</f>
        <v>共青团员</v>
      </c>
      <c r="H37" t="str">
        <f>"韶关学院舞蹈学"</f>
        <v>韶关学院舞蹈学</v>
      </c>
      <c r="I37" t="str">
        <f>"舞蹈学"</f>
        <v>舞蹈学</v>
      </c>
      <c r="J37" t="str">
        <f>"本科学士"</f>
        <v>本科学士</v>
      </c>
      <c r="K37" t="str">
        <f t="shared" si="0"/>
        <v>百色市右江区</v>
      </c>
      <c r="L37" t="str">
        <f>""</f>
        <v/>
      </c>
      <c r="M37" t="str">
        <f>""</f>
        <v/>
      </c>
      <c r="N37" t="str">
        <f>"2017.06.01"</f>
        <v>2017.06.01</v>
      </c>
      <c r="O37" t="str">
        <f>"是"</f>
        <v>是</v>
      </c>
      <c r="P37" t="str">
        <f>"4:高级中学"</f>
        <v>4:高级中学</v>
      </c>
      <c r="Q37" t="str">
        <f>"2017届毕业生填暂无"</f>
        <v>2017届毕业生填暂无</v>
      </c>
      <c r="R37" t="str">
        <f>"2017届毕业生填暂无"</f>
        <v>2017届毕业生填暂无</v>
      </c>
      <c r="S37" t="str">
        <f>"小学"</f>
        <v>小学</v>
      </c>
      <c r="T37" t="str">
        <f>"107:音乐"</f>
        <v>107:音乐</v>
      </c>
      <c r="U37" t="str">
        <f t="shared" si="1"/>
        <v>通过</v>
      </c>
    </row>
    <row r="38" spans="1:21" x14ac:dyDescent="0.15">
      <c r="A38" t="str">
        <f>"37"</f>
        <v>37</v>
      </c>
      <c r="B38" t="str">
        <f>"林凤娟"</f>
        <v>林凤娟</v>
      </c>
      <c r="C38" t="str">
        <f>"女        "</f>
        <v xml:space="preserve">女        </v>
      </c>
      <c r="D38" t="str">
        <f>"汉族"</f>
        <v>汉族</v>
      </c>
      <c r="E38" t="str">
        <f>"广西合浦县"</f>
        <v>广西合浦县</v>
      </c>
      <c r="F38" t="str">
        <f>"1993年10月"</f>
        <v>1993年10月</v>
      </c>
      <c r="G38" t="str">
        <f t="shared" si="10"/>
        <v>共青团员</v>
      </c>
      <c r="H38" t="str">
        <f>"百色学院化学"</f>
        <v>百色学院化学</v>
      </c>
      <c r="I38" t="str">
        <f>"化学"</f>
        <v>化学</v>
      </c>
      <c r="J38" t="str">
        <f>"本科学士"</f>
        <v>本科学士</v>
      </c>
      <c r="K38" t="str">
        <f t="shared" si="0"/>
        <v>百色市右江区</v>
      </c>
      <c r="L38" t="str">
        <f>"广西合浦县山口镇北界村委武驮村"</f>
        <v>广西合浦县山口镇北界村委武驮村</v>
      </c>
      <c r="M38" t="str">
        <f>""</f>
        <v/>
      </c>
      <c r="N38" t="str">
        <f>"2017.07.01"</f>
        <v>2017.07.01</v>
      </c>
      <c r="O38" t="str">
        <f>"是"</f>
        <v>是</v>
      </c>
      <c r="P38" t="str">
        <f>"4:高级中学"</f>
        <v>4:高级中学</v>
      </c>
      <c r="Q38" t="str">
        <f>"无"</f>
        <v>无</v>
      </c>
      <c r="R38" t="str">
        <f>"无"</f>
        <v>无</v>
      </c>
      <c r="S38" t="str">
        <f>"初中"</f>
        <v>初中</v>
      </c>
      <c r="T38" t="str">
        <f>"211:化学"</f>
        <v>211:化学</v>
      </c>
      <c r="U38" t="str">
        <f t="shared" si="1"/>
        <v>通过</v>
      </c>
    </row>
    <row r="39" spans="1:21" x14ac:dyDescent="0.15">
      <c r="A39" t="str">
        <f>"38"</f>
        <v>38</v>
      </c>
      <c r="B39" t="str">
        <f>"朱秋玲"</f>
        <v>朱秋玲</v>
      </c>
      <c r="C39" t="str">
        <f>"女        "</f>
        <v xml:space="preserve">女        </v>
      </c>
      <c r="D39" t="str">
        <f>"汉族"</f>
        <v>汉族</v>
      </c>
      <c r="E39" t="str">
        <f>"广西凌云"</f>
        <v>广西凌云</v>
      </c>
      <c r="F39" t="str">
        <f>"1987年08月"</f>
        <v>1987年08月</v>
      </c>
      <c r="G39" t="str">
        <f t="shared" si="10"/>
        <v>共青团员</v>
      </c>
      <c r="H39" t="str">
        <f>"广西师范大学漓江学院体育教育"</f>
        <v>广西师范大学漓江学院体育教育</v>
      </c>
      <c r="I39" t="str">
        <f>"体育教育"</f>
        <v>体育教育</v>
      </c>
      <c r="J39" t="str">
        <f>"本科学士"</f>
        <v>本科学士</v>
      </c>
      <c r="K39" t="str">
        <f t="shared" si="0"/>
        <v>百色市右江区</v>
      </c>
      <c r="L39" t="str">
        <f>"百色市东增路城市花园香榭宫"</f>
        <v>百色市东增路城市花园香榭宫</v>
      </c>
      <c r="M39" t="str">
        <f>"2010.07.01"</f>
        <v>2010.07.01</v>
      </c>
      <c r="N39" t="str">
        <f>"2010.06.01"</f>
        <v>2010.06.01</v>
      </c>
      <c r="O39" t="str">
        <f>"是"</f>
        <v>是</v>
      </c>
      <c r="P39" t="str">
        <f>"4:高级中学"</f>
        <v>4:高级中学</v>
      </c>
      <c r="Q39" t="str">
        <f>"20104503042003288"</f>
        <v>20104503042003288</v>
      </c>
      <c r="R39" t="str">
        <f>"136411201005002356"</f>
        <v>136411201005002356</v>
      </c>
      <c r="S39" t="str">
        <f t="shared" ref="S39:S44" si="11">"小学"</f>
        <v>小学</v>
      </c>
      <c r="T39" t="str">
        <f>"106:体育"</f>
        <v>106:体育</v>
      </c>
      <c r="U39" t="str">
        <f t="shared" si="1"/>
        <v>通过</v>
      </c>
    </row>
    <row r="40" spans="1:21" x14ac:dyDescent="0.15">
      <c r="A40" t="str">
        <f>"39"</f>
        <v>39</v>
      </c>
      <c r="B40" t="str">
        <f>"凌杨西子"</f>
        <v>凌杨西子</v>
      </c>
      <c r="C40" t="str">
        <f>"女        "</f>
        <v xml:space="preserve">女        </v>
      </c>
      <c r="D40" t="str">
        <f>"壮族"</f>
        <v>壮族</v>
      </c>
      <c r="E40" t="str">
        <f>"广西田东县"</f>
        <v>广西田东县</v>
      </c>
      <c r="F40" t="str">
        <f>"1995年02月"</f>
        <v>1995年02月</v>
      </c>
      <c r="G40" t="str">
        <f t="shared" si="10"/>
        <v>共青团员</v>
      </c>
      <c r="H40" t="str">
        <f>"桂林电子科技大学信息科技学院电子信息工程"</f>
        <v>桂林电子科技大学信息科技学院电子信息工程</v>
      </c>
      <c r="I40" t="str">
        <f>"电子信息工程"</f>
        <v>电子信息工程</v>
      </c>
      <c r="J40" t="str">
        <f>"本科学士"</f>
        <v>本科学士</v>
      </c>
      <c r="K40" t="str">
        <f t="shared" si="0"/>
        <v>百色市右江区</v>
      </c>
      <c r="L40" t="str">
        <f>""</f>
        <v/>
      </c>
      <c r="M40" t="str">
        <f>""</f>
        <v/>
      </c>
      <c r="N40" t="str">
        <f>"2017.06.01"</f>
        <v>2017.06.01</v>
      </c>
      <c r="O40" t="str">
        <f>"不是"</f>
        <v>不是</v>
      </c>
      <c r="P40" t="str">
        <f>"0:暂未取得"</f>
        <v>0:暂未取得</v>
      </c>
      <c r="Q40" t="str">
        <f>"2017届毕业生填暂无"</f>
        <v>2017届毕业生填暂无</v>
      </c>
      <c r="R40" t="str">
        <f>"2017届毕业生填暂无"</f>
        <v>2017届毕业生填暂无</v>
      </c>
      <c r="S40" t="str">
        <f t="shared" si="11"/>
        <v>小学</v>
      </c>
      <c r="T40" t="str">
        <f>"103:数学"</f>
        <v>103:数学</v>
      </c>
      <c r="U40" t="str">
        <f t="shared" si="1"/>
        <v>通过</v>
      </c>
    </row>
    <row r="41" spans="1:21" x14ac:dyDescent="0.15">
      <c r="A41" t="str">
        <f>"40"</f>
        <v>40</v>
      </c>
      <c r="B41" t="str">
        <f>"张则提"</f>
        <v>张则提</v>
      </c>
      <c r="C41" t="str">
        <f>"男        "</f>
        <v xml:space="preserve">男        </v>
      </c>
      <c r="D41" t="str">
        <f>"汉族"</f>
        <v>汉族</v>
      </c>
      <c r="E41" t="str">
        <f>"广西来宾市"</f>
        <v>广西来宾市</v>
      </c>
      <c r="F41" t="str">
        <f>"1988年08月"</f>
        <v>1988年08月</v>
      </c>
      <c r="G41" t="str">
        <f t="shared" si="10"/>
        <v>共青团员</v>
      </c>
      <c r="H41" t="str">
        <f>"玉林师范学院经济学"</f>
        <v>玉林师范学院经济学</v>
      </c>
      <c r="I41" t="str">
        <f>"经济学"</f>
        <v>经济学</v>
      </c>
      <c r="J41" t="str">
        <f>"本科学士"</f>
        <v>本科学士</v>
      </c>
      <c r="K41" t="str">
        <f t="shared" si="0"/>
        <v>百色市右江区</v>
      </c>
      <c r="L41" t="str">
        <f>"百色市右江区太平新隆巷57号"</f>
        <v>百色市右江区太平新隆巷57号</v>
      </c>
      <c r="M41" t="str">
        <f>"2015.05.01"</f>
        <v>2015.05.01</v>
      </c>
      <c r="N41" t="str">
        <f>"2015.06.01"</f>
        <v>2015.06.01</v>
      </c>
      <c r="O41" t="str">
        <f>"不是"</f>
        <v>不是</v>
      </c>
      <c r="P41" t="str">
        <f>"4:高级中学"</f>
        <v>4:高级中学</v>
      </c>
      <c r="Q41" t="str">
        <f>"20164520041000972"</f>
        <v>20164520041000972</v>
      </c>
      <c r="R41" t="str">
        <f>"106061201505000382"</f>
        <v>106061201505000382</v>
      </c>
      <c r="S41" t="str">
        <f t="shared" si="11"/>
        <v>小学</v>
      </c>
      <c r="T41" t="str">
        <f>"103:数学"</f>
        <v>103:数学</v>
      </c>
      <c r="U41" t="str">
        <f t="shared" si="1"/>
        <v>通过</v>
      </c>
    </row>
    <row r="42" spans="1:21" x14ac:dyDescent="0.15">
      <c r="A42" t="str">
        <f>"41"</f>
        <v>41</v>
      </c>
      <c r="B42" t="str">
        <f>"陈丽莎"</f>
        <v>陈丽莎</v>
      </c>
      <c r="C42" t="str">
        <f t="shared" ref="C42:C49" si="12">"女        "</f>
        <v xml:space="preserve">女        </v>
      </c>
      <c r="D42" t="str">
        <f>"汉族"</f>
        <v>汉族</v>
      </c>
      <c r="E42" t="str">
        <f>"乐业"</f>
        <v>乐业</v>
      </c>
      <c r="F42" t="str">
        <f>"1990年07月"</f>
        <v>1990年07月</v>
      </c>
      <c r="G42" t="str">
        <f t="shared" si="10"/>
        <v>共青团员</v>
      </c>
      <c r="H42" t="str">
        <f>"百色学院综合文科教育"</f>
        <v>百色学院综合文科教育</v>
      </c>
      <c r="I42" t="str">
        <f>"综合文科教育"</f>
        <v>综合文科教育</v>
      </c>
      <c r="J42" t="str">
        <f>"专科无学位"</f>
        <v>专科无学位</v>
      </c>
      <c r="K42" t="str">
        <f t="shared" si="0"/>
        <v>百色市右江区</v>
      </c>
      <c r="L42" t="str">
        <f>"广西百色市乐业县同乐镇三乐街405号"</f>
        <v>广西百色市乐业县同乐镇三乐街405号</v>
      </c>
      <c r="M42" t="str">
        <f>"2012.07.01"</f>
        <v>2012.07.01</v>
      </c>
      <c r="N42" t="str">
        <f>"2012.07.01"</f>
        <v>2012.07.01</v>
      </c>
      <c r="O42" t="str">
        <f>"是"</f>
        <v>是</v>
      </c>
      <c r="P42" t="str">
        <f>"3:初级中学"</f>
        <v>3:初级中学</v>
      </c>
      <c r="Q42" t="str">
        <f>"20124580032000456"</f>
        <v>20124580032000456</v>
      </c>
      <c r="R42" t="str">
        <f>"106091201206000299"</f>
        <v>106091201206000299</v>
      </c>
      <c r="S42" t="str">
        <f t="shared" si="11"/>
        <v>小学</v>
      </c>
      <c r="T42" t="str">
        <f>"102:语文"</f>
        <v>102:语文</v>
      </c>
      <c r="U42" t="str">
        <f t="shared" si="1"/>
        <v>通过</v>
      </c>
    </row>
    <row r="43" spans="1:21" x14ac:dyDescent="0.15">
      <c r="A43" t="str">
        <f>"42"</f>
        <v>42</v>
      </c>
      <c r="B43" t="str">
        <f>"韦金喜"</f>
        <v>韦金喜</v>
      </c>
      <c r="C43" t="str">
        <f t="shared" si="12"/>
        <v xml:space="preserve">女        </v>
      </c>
      <c r="D43" t="str">
        <f>"壮族"</f>
        <v>壮族</v>
      </c>
      <c r="E43" t="str">
        <f>"广西百色市"</f>
        <v>广西百色市</v>
      </c>
      <c r="F43" t="str">
        <f>"1995年10月"</f>
        <v>1995年10月</v>
      </c>
      <c r="G43" t="str">
        <f t="shared" si="10"/>
        <v>共青团员</v>
      </c>
      <c r="H43" t="str">
        <f>"百色学院小学教育"</f>
        <v>百色学院小学教育</v>
      </c>
      <c r="I43" t="str">
        <f>"小学教育"</f>
        <v>小学教育</v>
      </c>
      <c r="J43" t="str">
        <f>"专科无学位"</f>
        <v>专科无学位</v>
      </c>
      <c r="K43" t="str">
        <f t="shared" si="0"/>
        <v>百色市右江区</v>
      </c>
      <c r="L43" t="str">
        <f>"广西百色市右江区阳圩镇汪乡村汪屯45号"</f>
        <v>广西百色市右江区阳圩镇汪乡村汪屯45号</v>
      </c>
      <c r="M43" t="str">
        <f>"2015.09.01"</f>
        <v>2015.09.01</v>
      </c>
      <c r="N43" t="str">
        <f>"2016.06.01"</f>
        <v>2016.06.01</v>
      </c>
      <c r="O43" t="str">
        <f>"是"</f>
        <v>是</v>
      </c>
      <c r="P43" t="str">
        <f>"2:小学"</f>
        <v>2:小学</v>
      </c>
      <c r="Q43" t="str">
        <f>"有，正在办理中"</f>
        <v>有，正在办理中</v>
      </c>
      <c r="R43" t="str">
        <f>"106091201606001189"</f>
        <v>106091201606001189</v>
      </c>
      <c r="S43" t="str">
        <f t="shared" si="11"/>
        <v>小学</v>
      </c>
      <c r="T43" t="str">
        <f>"102:语文"</f>
        <v>102:语文</v>
      </c>
      <c r="U43" t="str">
        <f t="shared" si="1"/>
        <v>通过</v>
      </c>
    </row>
    <row r="44" spans="1:21" x14ac:dyDescent="0.15">
      <c r="A44" t="str">
        <f>"43"</f>
        <v>43</v>
      </c>
      <c r="B44" t="str">
        <f>"李焕丽"</f>
        <v>李焕丽</v>
      </c>
      <c r="C44" t="str">
        <f t="shared" si="12"/>
        <v xml:space="preserve">女        </v>
      </c>
      <c r="D44" t="str">
        <f>"汉族"</f>
        <v>汉族</v>
      </c>
      <c r="E44" t="str">
        <f>"广东"</f>
        <v>广东</v>
      </c>
      <c r="F44" t="str">
        <f>"1991年08月"</f>
        <v>1991年08月</v>
      </c>
      <c r="G44" t="str">
        <f>"群众"</f>
        <v>群众</v>
      </c>
      <c r="H44" t="str">
        <f>"广东省罗定职业技术学院语文教育"</f>
        <v>广东省罗定职业技术学院语文教育</v>
      </c>
      <c r="I44" t="str">
        <f>"语文教育"</f>
        <v>语文教育</v>
      </c>
      <c r="J44" t="str">
        <f>"专科无学位"</f>
        <v>专科无学位</v>
      </c>
      <c r="K44" t="str">
        <f t="shared" si="0"/>
        <v>百色市右江区</v>
      </c>
      <c r="L44" t="str">
        <f>"广西省百色市右江区建华路西联坡2号"</f>
        <v>广西省百色市右江区建华路西联坡2号</v>
      </c>
      <c r="M44" t="str">
        <f>"2016.08.01"</f>
        <v>2016.08.01</v>
      </c>
      <c r="N44" t="str">
        <f>"2016.06.01"</f>
        <v>2016.06.01</v>
      </c>
      <c r="O44" t="str">
        <f>"是"</f>
        <v>是</v>
      </c>
      <c r="P44" t="str">
        <f>"3:初级中学"</f>
        <v>3:初级中学</v>
      </c>
      <c r="Q44" t="str">
        <f>"20174414332000773"</f>
        <v>20174414332000773</v>
      </c>
      <c r="R44" t="str">
        <f>"127701201606001067"</f>
        <v>127701201606001067</v>
      </c>
      <c r="S44" t="str">
        <f t="shared" si="11"/>
        <v>小学</v>
      </c>
      <c r="T44" t="str">
        <f>"102:语文"</f>
        <v>102:语文</v>
      </c>
      <c r="U44" t="str">
        <f t="shared" si="1"/>
        <v>通过</v>
      </c>
    </row>
    <row r="45" spans="1:21" x14ac:dyDescent="0.15">
      <c r="A45" t="str">
        <f>"44"</f>
        <v>44</v>
      </c>
      <c r="B45" t="str">
        <f>"黄元丽"</f>
        <v>黄元丽</v>
      </c>
      <c r="C45" t="str">
        <f t="shared" si="12"/>
        <v xml:space="preserve">女        </v>
      </c>
      <c r="D45" t="str">
        <f>"壮族"</f>
        <v>壮族</v>
      </c>
      <c r="E45" t="str">
        <f>"广西百色"</f>
        <v>广西百色</v>
      </c>
      <c r="F45" t="str">
        <f>"1992年05月"</f>
        <v>1992年05月</v>
      </c>
      <c r="G45" t="str">
        <f t="shared" ref="G45:G54" si="13">"共青团员"</f>
        <v>共青团员</v>
      </c>
      <c r="H45" t="str">
        <f>"玉林师范学院数学与应用数学"</f>
        <v>玉林师范学院数学与应用数学</v>
      </c>
      <c r="I45" t="str">
        <f>"数学与应用数学"</f>
        <v>数学与应用数学</v>
      </c>
      <c r="J45" t="str">
        <f>"本科学士"</f>
        <v>本科学士</v>
      </c>
      <c r="K45" t="str">
        <f t="shared" si="0"/>
        <v>百色市右江区</v>
      </c>
      <c r="L45" t="str">
        <f>"广西乐业县同乐镇大挽村内当站屯025号"</f>
        <v>广西乐业县同乐镇大挽村内当站屯025号</v>
      </c>
      <c r="M45" t="str">
        <f>"2016.09.01"</f>
        <v>2016.09.01</v>
      </c>
      <c r="N45" t="str">
        <f>"2017.06.01"</f>
        <v>2017.06.01</v>
      </c>
      <c r="O45" t="str">
        <f>"是"</f>
        <v>是</v>
      </c>
      <c r="P45" t="str">
        <f>"3:初级中学"</f>
        <v>3:初级中学</v>
      </c>
      <c r="Q45" t="str">
        <f>"2017届毕业生填暂无"</f>
        <v>2017届毕业生填暂无</v>
      </c>
      <c r="R45" t="str">
        <f>"2017届毕业生填暂无"</f>
        <v>2017届毕业生填暂无</v>
      </c>
      <c r="S45" t="str">
        <f>"初中"</f>
        <v>初中</v>
      </c>
      <c r="T45" t="str">
        <f>"203:数学"</f>
        <v>203:数学</v>
      </c>
      <c r="U45" t="str">
        <f t="shared" si="1"/>
        <v>通过</v>
      </c>
    </row>
    <row r="46" spans="1:21" x14ac:dyDescent="0.15">
      <c r="A46" t="str">
        <f>"45"</f>
        <v>45</v>
      </c>
      <c r="B46" t="str">
        <f>"罗德娅"</f>
        <v>罗德娅</v>
      </c>
      <c r="C46" t="str">
        <f t="shared" si="12"/>
        <v xml:space="preserve">女        </v>
      </c>
      <c r="D46" t="str">
        <f>"壮族"</f>
        <v>壮族</v>
      </c>
      <c r="E46" t="str">
        <f>"云南西畴"</f>
        <v>云南西畴</v>
      </c>
      <c r="F46" t="str">
        <f>"1993年10月"</f>
        <v>1993年10月</v>
      </c>
      <c r="G46" t="str">
        <f t="shared" si="13"/>
        <v>共青团员</v>
      </c>
      <c r="H46" t="str">
        <f>"文山学院地理教育"</f>
        <v>文山学院地理教育</v>
      </c>
      <c r="I46" t="str">
        <f>"地理教育"</f>
        <v>地理教育</v>
      </c>
      <c r="J46" t="str">
        <f>"专科无学位"</f>
        <v>专科无学位</v>
      </c>
      <c r="K46" t="str">
        <f t="shared" si="0"/>
        <v>百色市右江区</v>
      </c>
      <c r="L46" t="str">
        <f>"云南省文山州西畴县法斗乡老寨村"</f>
        <v>云南省文山州西畴县法斗乡老寨村</v>
      </c>
      <c r="M46" t="str">
        <f>"2015.07.01"</f>
        <v>2015.07.01</v>
      </c>
      <c r="N46" t="str">
        <f>"2015.07.01"</f>
        <v>2015.07.01</v>
      </c>
      <c r="O46" t="str">
        <f>"是"</f>
        <v>是</v>
      </c>
      <c r="P46" t="str">
        <f>"3:初级中学"</f>
        <v>3:初级中学</v>
      </c>
      <c r="Q46" t="str">
        <f>"20155307432000061"</f>
        <v>20155307432000061</v>
      </c>
      <c r="R46" t="str">
        <f>"115561201506000402"</f>
        <v>115561201506000402</v>
      </c>
      <c r="S46" t="str">
        <f>"初中"</f>
        <v>初中</v>
      </c>
      <c r="T46" t="str">
        <f>"207:地理"</f>
        <v>207:地理</v>
      </c>
      <c r="U46" t="str">
        <f t="shared" si="1"/>
        <v>通过</v>
      </c>
    </row>
    <row r="47" spans="1:21" x14ac:dyDescent="0.15">
      <c r="A47" t="str">
        <f>"46"</f>
        <v>46</v>
      </c>
      <c r="B47" t="str">
        <f>"朱银彩"</f>
        <v>朱银彩</v>
      </c>
      <c r="C47" t="str">
        <f t="shared" si="12"/>
        <v xml:space="preserve">女        </v>
      </c>
      <c r="D47" t="str">
        <f>"汉族"</f>
        <v>汉族</v>
      </c>
      <c r="E47" t="str">
        <f>"广东新兴"</f>
        <v>广东新兴</v>
      </c>
      <c r="F47" t="str">
        <f>"1995年02月"</f>
        <v>1995年02月</v>
      </c>
      <c r="G47" t="str">
        <f t="shared" si="13"/>
        <v>共青团员</v>
      </c>
      <c r="H47" t="str">
        <f>"百色学院材料化学"</f>
        <v>百色学院材料化学</v>
      </c>
      <c r="I47" t="str">
        <f>"材料化学"</f>
        <v>材料化学</v>
      </c>
      <c r="J47" t="str">
        <f t="shared" ref="J47:J53" si="14">"本科学士"</f>
        <v>本科学士</v>
      </c>
      <c r="K47" t="str">
        <f t="shared" si="0"/>
        <v>百色市右江区</v>
      </c>
      <c r="L47" t="str">
        <f>"广西桂林市荔浦县青山镇"</f>
        <v>广西桂林市荔浦县青山镇</v>
      </c>
      <c r="M47" t="str">
        <f>"2016.10.01"</f>
        <v>2016.10.01</v>
      </c>
      <c r="N47" t="str">
        <f>"2017.07.01"</f>
        <v>2017.07.01</v>
      </c>
      <c r="O47" t="str">
        <f>"不是"</f>
        <v>不是</v>
      </c>
      <c r="P47" t="str">
        <f>"0:暂未取得"</f>
        <v>0:暂未取得</v>
      </c>
      <c r="Q47" t="str">
        <f>"无"</f>
        <v>无</v>
      </c>
      <c r="R47" t="str">
        <f>"无"</f>
        <v>无</v>
      </c>
      <c r="S47" t="str">
        <f>"初中"</f>
        <v>初中</v>
      </c>
      <c r="T47" t="str">
        <f>"211:化学"</f>
        <v>211:化学</v>
      </c>
      <c r="U47" t="str">
        <f t="shared" si="1"/>
        <v>通过</v>
      </c>
    </row>
    <row r="48" spans="1:21" x14ac:dyDescent="0.15">
      <c r="A48" t="str">
        <f>"47"</f>
        <v>47</v>
      </c>
      <c r="B48" t="str">
        <f>"兰妍婷"</f>
        <v>兰妍婷</v>
      </c>
      <c r="C48" t="str">
        <f t="shared" si="12"/>
        <v xml:space="preserve">女        </v>
      </c>
      <c r="D48" t="str">
        <f t="shared" ref="D48:D54" si="15">"壮族"</f>
        <v>壮族</v>
      </c>
      <c r="E48" t="str">
        <f>"广西百色"</f>
        <v>广西百色</v>
      </c>
      <c r="F48" t="str">
        <f>"1993年07月"</f>
        <v>1993年07月</v>
      </c>
      <c r="G48" t="str">
        <f t="shared" si="13"/>
        <v>共青团员</v>
      </c>
      <c r="H48" t="str">
        <f>"百色学院艺术设计"</f>
        <v>百色学院艺术设计</v>
      </c>
      <c r="I48" t="str">
        <f>"艺术设计"</f>
        <v>艺术设计</v>
      </c>
      <c r="J48" t="str">
        <f t="shared" si="14"/>
        <v>本科学士</v>
      </c>
      <c r="K48" t="str">
        <f t="shared" si="0"/>
        <v>百色市右江区</v>
      </c>
      <c r="L48" t="str">
        <f>"广西百色市右江区东笋路马鞍坡39号"</f>
        <v>广西百色市右江区东笋路马鞍坡39号</v>
      </c>
      <c r="M48" t="str">
        <f>""</f>
        <v/>
      </c>
      <c r="N48" t="str">
        <f>"2016.06.01"</f>
        <v>2016.06.01</v>
      </c>
      <c r="O48" t="str">
        <f>"不是"</f>
        <v>不是</v>
      </c>
      <c r="P48" t="str">
        <f>"2:小学"</f>
        <v>2:小学</v>
      </c>
      <c r="Q48" t="str">
        <f>"2016452033324"</f>
        <v>2016452033324</v>
      </c>
      <c r="R48" t="str">
        <f>"106091201605001550"</f>
        <v>106091201605001550</v>
      </c>
      <c r="S48" t="str">
        <f>"小学"</f>
        <v>小学</v>
      </c>
      <c r="T48" t="str">
        <f>"108:美术"</f>
        <v>108:美术</v>
      </c>
      <c r="U48" t="str">
        <f t="shared" si="1"/>
        <v>通过</v>
      </c>
    </row>
    <row r="49" spans="1:21" x14ac:dyDescent="0.15">
      <c r="A49" t="str">
        <f>"48"</f>
        <v>48</v>
      </c>
      <c r="B49" t="str">
        <f>"农雨静"</f>
        <v>农雨静</v>
      </c>
      <c r="C49" t="str">
        <f t="shared" si="12"/>
        <v xml:space="preserve">女        </v>
      </c>
      <c r="D49" t="str">
        <f t="shared" si="15"/>
        <v>壮族</v>
      </c>
      <c r="E49" t="str">
        <f>"云南文山"</f>
        <v>云南文山</v>
      </c>
      <c r="F49" t="str">
        <f>"1994年06月"</f>
        <v>1994年06月</v>
      </c>
      <c r="G49" t="str">
        <f t="shared" si="13"/>
        <v>共青团员</v>
      </c>
      <c r="H49" t="str">
        <f>"玉溪师范学院地理科学"</f>
        <v>玉溪师范学院地理科学</v>
      </c>
      <c r="I49" t="str">
        <f>"地理科学"</f>
        <v>地理科学</v>
      </c>
      <c r="J49" t="str">
        <f t="shared" si="14"/>
        <v>本科学士</v>
      </c>
      <c r="K49" t="str">
        <f t="shared" si="0"/>
        <v>百色市右江区</v>
      </c>
      <c r="L49" t="str">
        <f>"云南省文山壮族苗族自治州广南县坝美镇董幕村"</f>
        <v>云南省文山壮族苗族自治州广南县坝美镇董幕村</v>
      </c>
      <c r="M49" t="str">
        <f>""</f>
        <v/>
      </c>
      <c r="N49" t="str">
        <f>"2017.07.01"</f>
        <v>2017.07.01</v>
      </c>
      <c r="O49" t="str">
        <f t="shared" ref="O49:O57" si="16">"是"</f>
        <v>是</v>
      </c>
      <c r="P49" t="str">
        <f>"4:高级中学"</f>
        <v>4:高级中学</v>
      </c>
      <c r="Q49" t="str">
        <f>"2017届毕业生填暂无"</f>
        <v>2017届毕业生填暂无</v>
      </c>
      <c r="R49" t="str">
        <f>"2017届毕业生填暂无"</f>
        <v>2017届毕业生填暂无</v>
      </c>
      <c r="S49" t="str">
        <f>"初中"</f>
        <v>初中</v>
      </c>
      <c r="T49" t="str">
        <f>"207:地理"</f>
        <v>207:地理</v>
      </c>
      <c r="U49" t="str">
        <f t="shared" si="1"/>
        <v>通过</v>
      </c>
    </row>
    <row r="50" spans="1:21" x14ac:dyDescent="0.15">
      <c r="A50" t="str">
        <f>"49"</f>
        <v>49</v>
      </c>
      <c r="B50" t="str">
        <f>"凌杰"</f>
        <v>凌杰</v>
      </c>
      <c r="C50" t="str">
        <f>"男        "</f>
        <v xml:space="preserve">男        </v>
      </c>
      <c r="D50" t="str">
        <f t="shared" si="15"/>
        <v>壮族</v>
      </c>
      <c r="E50" t="str">
        <f>"广西百色"</f>
        <v>广西百色</v>
      </c>
      <c r="F50" t="str">
        <f>"1991年11月"</f>
        <v>1991年11月</v>
      </c>
      <c r="G50" t="str">
        <f t="shared" si="13"/>
        <v>共青团员</v>
      </c>
      <c r="H50" t="str">
        <f>"钦州学院体育教育"</f>
        <v>钦州学院体育教育</v>
      </c>
      <c r="I50" t="str">
        <f>"体育教育"</f>
        <v>体育教育</v>
      </c>
      <c r="J50" t="str">
        <f t="shared" si="14"/>
        <v>本科学士</v>
      </c>
      <c r="K50" t="str">
        <f t="shared" si="0"/>
        <v>百色市右江区</v>
      </c>
      <c r="L50" t="str">
        <f>"广西百色市右江区汪甸瑶族乡两琶村那架屯15号"</f>
        <v>广西百色市右江区汪甸瑶族乡两琶村那架屯15号</v>
      </c>
      <c r="M50" t="str">
        <f>"2015.07.01"</f>
        <v>2015.07.01</v>
      </c>
      <c r="N50" t="str">
        <f>"2015.06.01"</f>
        <v>2015.06.01</v>
      </c>
      <c r="O50" t="str">
        <f t="shared" si="16"/>
        <v>是</v>
      </c>
      <c r="P50" t="str">
        <f>"4:高级中学"</f>
        <v>4:高级中学</v>
      </c>
      <c r="Q50" t="str">
        <f>"20154580041000650"</f>
        <v>20154580041000650</v>
      </c>
      <c r="R50" t="str">
        <f>"116071201505001883"</f>
        <v>116071201505001883</v>
      </c>
      <c r="S50" t="str">
        <f>"初中"</f>
        <v>初中</v>
      </c>
      <c r="T50" t="str">
        <f>"212:体育"</f>
        <v>212:体育</v>
      </c>
      <c r="U50" t="str">
        <f t="shared" si="1"/>
        <v>通过</v>
      </c>
    </row>
    <row r="51" spans="1:21" x14ac:dyDescent="0.15">
      <c r="A51" t="str">
        <f>"50"</f>
        <v>50</v>
      </c>
      <c r="B51" t="str">
        <f>"黄艳华"</f>
        <v>黄艳华</v>
      </c>
      <c r="C51" t="str">
        <f>"女        "</f>
        <v xml:space="preserve">女        </v>
      </c>
      <c r="D51" t="str">
        <f t="shared" si="15"/>
        <v>壮族</v>
      </c>
      <c r="E51" t="str">
        <f>"广西靖西"</f>
        <v>广西靖西</v>
      </c>
      <c r="F51" t="str">
        <f>"1995年11月"</f>
        <v>1995年11月</v>
      </c>
      <c r="G51" t="str">
        <f t="shared" si="13"/>
        <v>共青团员</v>
      </c>
      <c r="H51" t="str">
        <f>"百色学院思想政治教育"</f>
        <v>百色学院思想政治教育</v>
      </c>
      <c r="I51" t="str">
        <f>"思想政治教育"</f>
        <v>思想政治教育</v>
      </c>
      <c r="J51" t="str">
        <f t="shared" si="14"/>
        <v>本科学士</v>
      </c>
      <c r="K51" t="str">
        <f t="shared" si="0"/>
        <v>百色市右江区</v>
      </c>
      <c r="L51" t="str">
        <f>"广西靖西龙临龙显村内显屯17号"</f>
        <v>广西靖西龙临龙显村内显屯17号</v>
      </c>
      <c r="M51" t="str">
        <f>"2016.09.01"</f>
        <v>2016.09.01</v>
      </c>
      <c r="N51" t="str">
        <f>"2017.06.01"</f>
        <v>2017.06.01</v>
      </c>
      <c r="O51" t="str">
        <f t="shared" si="16"/>
        <v>是</v>
      </c>
      <c r="P51" t="str">
        <f>"4:高级中学"</f>
        <v>4:高级中学</v>
      </c>
      <c r="Q51" t="str">
        <f>"无"</f>
        <v>无</v>
      </c>
      <c r="R51" t="str">
        <f>"无"</f>
        <v>无</v>
      </c>
      <c r="S51" t="str">
        <f>"初中"</f>
        <v>初中</v>
      </c>
      <c r="T51" t="str">
        <f>"299:政治"</f>
        <v>299:政治</v>
      </c>
      <c r="U51" t="str">
        <f t="shared" si="1"/>
        <v>通过</v>
      </c>
    </row>
    <row r="52" spans="1:21" x14ac:dyDescent="0.15">
      <c r="A52" t="str">
        <f>"51"</f>
        <v>51</v>
      </c>
      <c r="B52" t="str">
        <f>"王明婕"</f>
        <v>王明婕</v>
      </c>
      <c r="C52" t="str">
        <f>"女        "</f>
        <v xml:space="preserve">女        </v>
      </c>
      <c r="D52" t="str">
        <f t="shared" si="15"/>
        <v>壮族</v>
      </c>
      <c r="E52" t="str">
        <f>"浙江"</f>
        <v>浙江</v>
      </c>
      <c r="F52" t="str">
        <f>"1994年09月"</f>
        <v>1994年09月</v>
      </c>
      <c r="G52" t="str">
        <f t="shared" si="13"/>
        <v>共青团员</v>
      </c>
      <c r="H52" t="str">
        <f>"广西师范学院师园学院小学教育"</f>
        <v>广西师范学院师园学院小学教育</v>
      </c>
      <c r="I52" t="str">
        <f>"小学教育"</f>
        <v>小学教育</v>
      </c>
      <c r="J52" t="str">
        <f t="shared" si="14"/>
        <v>本科学士</v>
      </c>
      <c r="K52" t="str">
        <f t="shared" si="0"/>
        <v>百色市右江区</v>
      </c>
      <c r="L52" t="str">
        <f>"广西百色市右江区百胜街田垌巷25号左边"</f>
        <v>广西百色市右江区百胜街田垌巷25号左边</v>
      </c>
      <c r="M52" t="str">
        <f>"2016.09.01"</f>
        <v>2016.09.01</v>
      </c>
      <c r="N52" t="str">
        <f>"2017.07.01"</f>
        <v>2017.07.01</v>
      </c>
      <c r="O52" t="str">
        <f t="shared" si="16"/>
        <v>是</v>
      </c>
      <c r="P52" t="str">
        <f>"2:小学"</f>
        <v>2:小学</v>
      </c>
      <c r="Q52" t="str">
        <f>"暂无"</f>
        <v>暂无</v>
      </c>
      <c r="R52" t="str">
        <f>"暂无"</f>
        <v>暂无</v>
      </c>
      <c r="S52" t="str">
        <f>"小学"</f>
        <v>小学</v>
      </c>
      <c r="T52" t="str">
        <f>"102:语文"</f>
        <v>102:语文</v>
      </c>
      <c r="U52" t="str">
        <f t="shared" si="1"/>
        <v>通过</v>
      </c>
    </row>
    <row r="53" spans="1:21" x14ac:dyDescent="0.15">
      <c r="A53" t="str">
        <f>"52"</f>
        <v>52</v>
      </c>
      <c r="B53" t="str">
        <f>"覃紫婧"</f>
        <v>覃紫婧</v>
      </c>
      <c r="C53" t="str">
        <f>"女        "</f>
        <v xml:space="preserve">女        </v>
      </c>
      <c r="D53" t="str">
        <f t="shared" si="15"/>
        <v>壮族</v>
      </c>
      <c r="E53" t="str">
        <f>"广西靖西县"</f>
        <v>广西靖西县</v>
      </c>
      <c r="F53" t="str">
        <f>"1995年02月"</f>
        <v>1995年02月</v>
      </c>
      <c r="G53" t="str">
        <f t="shared" si="13"/>
        <v>共青团员</v>
      </c>
      <c r="H53" t="str">
        <f>"玉林师范学院生物科学"</f>
        <v>玉林师范学院生物科学</v>
      </c>
      <c r="I53" t="str">
        <f>"生物科学"</f>
        <v>生物科学</v>
      </c>
      <c r="J53" t="str">
        <f t="shared" si="14"/>
        <v>本科学士</v>
      </c>
      <c r="K53" t="str">
        <f t="shared" si="0"/>
        <v>百色市右江区</v>
      </c>
      <c r="L53" t="str">
        <f>"百色市火车站中区"</f>
        <v>百色市火车站中区</v>
      </c>
      <c r="M53" t="str">
        <f>""</f>
        <v/>
      </c>
      <c r="N53" t="str">
        <f>"2017.06.01"</f>
        <v>2017.06.01</v>
      </c>
      <c r="O53" t="str">
        <f t="shared" si="16"/>
        <v>是</v>
      </c>
      <c r="P53" t="str">
        <f>"4:高级中学"</f>
        <v>4:高级中学</v>
      </c>
      <c r="Q53" t="str">
        <f>"2017届毕业生填暂无"</f>
        <v>2017届毕业生填暂无</v>
      </c>
      <c r="R53" t="str">
        <f>"2017届毕业生填暂无"</f>
        <v>2017届毕业生填暂无</v>
      </c>
      <c r="S53" t="str">
        <f>"初中"</f>
        <v>初中</v>
      </c>
      <c r="T53" t="str">
        <f>"209:生物"</f>
        <v>209:生物</v>
      </c>
      <c r="U53" t="str">
        <f t="shared" si="1"/>
        <v>通过</v>
      </c>
    </row>
    <row r="54" spans="1:21" x14ac:dyDescent="0.15">
      <c r="A54" t="str">
        <f>"53"</f>
        <v>53</v>
      </c>
      <c r="B54" t="str">
        <f>"罗玉婷"</f>
        <v>罗玉婷</v>
      </c>
      <c r="C54" t="str">
        <f>"女        "</f>
        <v xml:space="preserve">女        </v>
      </c>
      <c r="D54" t="str">
        <f t="shared" si="15"/>
        <v>壮族</v>
      </c>
      <c r="E54" t="str">
        <f>"广西百色"</f>
        <v>广西百色</v>
      </c>
      <c r="F54" t="str">
        <f>"1997年03月"</f>
        <v>1997年03月</v>
      </c>
      <c r="G54" t="str">
        <f t="shared" si="13"/>
        <v>共青团员</v>
      </c>
      <c r="H54" t="str">
        <f>"百色学院教育科学学院小学教育"</f>
        <v>百色学院教育科学学院小学教育</v>
      </c>
      <c r="I54" t="str">
        <f>"小学教育"</f>
        <v>小学教育</v>
      </c>
      <c r="J54" t="str">
        <f>"专科无学位"</f>
        <v>专科无学位</v>
      </c>
      <c r="K54" t="str">
        <f t="shared" si="0"/>
        <v>百色市右江区</v>
      </c>
      <c r="L54" t="str">
        <f>"广西百色市右江区四塘镇那伏村那改屯4号"</f>
        <v>广西百色市右江区四塘镇那伏村那改屯4号</v>
      </c>
      <c r="M54" t="str">
        <f>"2017.03.01"</f>
        <v>2017.03.01</v>
      </c>
      <c r="N54" t="str">
        <f>"2017.06.01"</f>
        <v>2017.06.01</v>
      </c>
      <c r="O54" t="str">
        <f t="shared" si="16"/>
        <v>是</v>
      </c>
      <c r="P54" t="str">
        <f>"0:暂未取得"</f>
        <v>0:暂未取得</v>
      </c>
      <c r="Q54" t="str">
        <f>"暂无"</f>
        <v>暂无</v>
      </c>
      <c r="R54" t="str">
        <f>"暂无"</f>
        <v>暂无</v>
      </c>
      <c r="S54" t="str">
        <f>"小学"</f>
        <v>小学</v>
      </c>
      <c r="T54" t="str">
        <f>"103:数学"</f>
        <v>103:数学</v>
      </c>
      <c r="U54" t="str">
        <f t="shared" si="1"/>
        <v>通过</v>
      </c>
    </row>
    <row r="55" spans="1:21" x14ac:dyDescent="0.15">
      <c r="A55" t="str">
        <f>"54"</f>
        <v>54</v>
      </c>
      <c r="B55" t="str">
        <f>"张建风"</f>
        <v>张建风</v>
      </c>
      <c r="C55" t="str">
        <f>"女        "</f>
        <v xml:space="preserve">女        </v>
      </c>
      <c r="D55" t="str">
        <f>"汉族"</f>
        <v>汉族</v>
      </c>
      <c r="E55" t="str">
        <f>"云南文山"</f>
        <v>云南文山</v>
      </c>
      <c r="F55" t="str">
        <f>"1992年07月"</f>
        <v>1992年07月</v>
      </c>
      <c r="G55" t="str">
        <f>"中共党员"</f>
        <v>中共党员</v>
      </c>
      <c r="H55" t="str">
        <f>"曲靖师范学院地理科学"</f>
        <v>曲靖师范学院地理科学</v>
      </c>
      <c r="I55" t="str">
        <f>"地理科学"</f>
        <v>地理科学</v>
      </c>
      <c r="J55" t="str">
        <f>"本科学士"</f>
        <v>本科学士</v>
      </c>
      <c r="K55" t="str">
        <f t="shared" si="0"/>
        <v>百色市右江区</v>
      </c>
      <c r="L55" t="str">
        <f>"云南省文山州丘北县锦屏新村58号"</f>
        <v>云南省文山州丘北县锦屏新村58号</v>
      </c>
      <c r="M55" t="str">
        <f>""</f>
        <v/>
      </c>
      <c r="N55" t="str">
        <f>"2017.06.01"</f>
        <v>2017.06.01</v>
      </c>
      <c r="O55" t="str">
        <f t="shared" si="16"/>
        <v>是</v>
      </c>
      <c r="P55" t="str">
        <f>"4:高级中学"</f>
        <v>4:高级中学</v>
      </c>
      <c r="Q55" t="str">
        <f>"2017届毕业生填暂无"</f>
        <v>2017届毕业生填暂无</v>
      </c>
      <c r="R55" t="str">
        <f>"2017届毕业生填暂无"</f>
        <v>2017届毕业生填暂无</v>
      </c>
      <c r="S55" t="str">
        <f>"初中"</f>
        <v>初中</v>
      </c>
      <c r="T55" t="str">
        <f>"207:地理"</f>
        <v>207:地理</v>
      </c>
      <c r="U55" t="str">
        <f t="shared" si="1"/>
        <v>通过</v>
      </c>
    </row>
    <row r="56" spans="1:21" x14ac:dyDescent="0.15">
      <c r="A56" t="str">
        <f>"55"</f>
        <v>55</v>
      </c>
      <c r="B56" t="str">
        <f>"葛贵兴"</f>
        <v>葛贵兴</v>
      </c>
      <c r="C56" t="str">
        <f>"男        "</f>
        <v xml:space="preserve">男        </v>
      </c>
      <c r="D56" t="str">
        <f>"汉族"</f>
        <v>汉族</v>
      </c>
      <c r="E56" t="str">
        <f>"广西百色市田阳县"</f>
        <v>广西百色市田阳县</v>
      </c>
      <c r="F56" t="str">
        <f>"1995年03月"</f>
        <v>1995年03月</v>
      </c>
      <c r="G56" t="str">
        <f>"共青团员"</f>
        <v>共青团员</v>
      </c>
      <c r="H56" t="str">
        <f>"百色学院综合文科教育"</f>
        <v>百色学院综合文科教育</v>
      </c>
      <c r="I56" t="str">
        <f>"综合文科教育"</f>
        <v>综合文科教育</v>
      </c>
      <c r="J56" t="str">
        <f>"专科无学位"</f>
        <v>专科无学位</v>
      </c>
      <c r="K56" t="str">
        <f t="shared" si="0"/>
        <v>百色市右江区</v>
      </c>
      <c r="L56" t="str">
        <f>"百色市田阳县那满镇治塘村6组"</f>
        <v>百色市田阳县那满镇治塘村6组</v>
      </c>
      <c r="M56" t="str">
        <f>"2016.09.01"</f>
        <v>2016.09.01</v>
      </c>
      <c r="N56" t="str">
        <f>"2016.06.01"</f>
        <v>2016.06.01</v>
      </c>
      <c r="O56" t="str">
        <f t="shared" si="16"/>
        <v>是</v>
      </c>
      <c r="P56" t="str">
        <f>"2:小学"</f>
        <v>2:小学</v>
      </c>
      <c r="Q56" t="str">
        <f>"有，正在办理中"</f>
        <v>有，正在办理中</v>
      </c>
      <c r="R56" t="str">
        <f>"106091201606000532"</f>
        <v>106091201606000532</v>
      </c>
      <c r="S56" t="str">
        <f>"小学"</f>
        <v>小学</v>
      </c>
      <c r="T56" t="str">
        <f>"102:语文"</f>
        <v>102:语文</v>
      </c>
      <c r="U56" t="str">
        <f t="shared" si="1"/>
        <v>通过</v>
      </c>
    </row>
    <row r="57" spans="1:21" x14ac:dyDescent="0.15">
      <c r="A57" t="str">
        <f>"56"</f>
        <v>56</v>
      </c>
      <c r="B57" t="str">
        <f>"邓丽芳"</f>
        <v>邓丽芳</v>
      </c>
      <c r="C57" t="str">
        <f>"女        "</f>
        <v xml:space="preserve">女        </v>
      </c>
      <c r="D57" t="str">
        <f>"壮族"</f>
        <v>壮族</v>
      </c>
      <c r="E57" t="str">
        <f>"广西百色"</f>
        <v>广西百色</v>
      </c>
      <c r="F57" t="str">
        <f>"1995年12月"</f>
        <v>1995年12月</v>
      </c>
      <c r="G57" t="str">
        <f>"共青团员"</f>
        <v>共青团员</v>
      </c>
      <c r="H57" t="str">
        <f>"百色学院综合文科教育"</f>
        <v>百色学院综合文科教育</v>
      </c>
      <c r="I57" t="str">
        <f>"综合文科教育"</f>
        <v>综合文科教育</v>
      </c>
      <c r="J57" t="str">
        <f>"专科无学位"</f>
        <v>专科无学位</v>
      </c>
      <c r="K57" t="str">
        <f t="shared" si="0"/>
        <v>百色市右江区</v>
      </c>
      <c r="L57" t="str">
        <f>"广西壮族自治区百色市右江区龙川镇练乡村那谷屯"</f>
        <v>广西壮族自治区百色市右江区龙川镇练乡村那谷屯</v>
      </c>
      <c r="M57" t="str">
        <f>"2016.09.01"</f>
        <v>2016.09.01</v>
      </c>
      <c r="N57" t="str">
        <f>"2016.06.01"</f>
        <v>2016.06.01</v>
      </c>
      <c r="O57" t="str">
        <f t="shared" si="16"/>
        <v>是</v>
      </c>
      <c r="P57" t="str">
        <f>"2:小学"</f>
        <v>2:小学</v>
      </c>
      <c r="Q57" t="str">
        <f>"20164580022001010"</f>
        <v>20164580022001010</v>
      </c>
      <c r="R57" t="str">
        <f>"106091201606000539"</f>
        <v>106091201606000539</v>
      </c>
      <c r="S57" t="str">
        <f>"小学"</f>
        <v>小学</v>
      </c>
      <c r="T57" t="str">
        <f>"102:语文"</f>
        <v>102:语文</v>
      </c>
      <c r="U57" t="str">
        <f t="shared" si="1"/>
        <v>通过</v>
      </c>
    </row>
    <row r="58" spans="1:21" x14ac:dyDescent="0.15">
      <c r="A58" t="str">
        <f>"57"</f>
        <v>57</v>
      </c>
      <c r="B58" t="str">
        <f>"王秀兰"</f>
        <v>王秀兰</v>
      </c>
      <c r="C58" t="str">
        <f>"女        "</f>
        <v xml:space="preserve">女        </v>
      </c>
      <c r="D58" t="str">
        <f>"汉族"</f>
        <v>汉族</v>
      </c>
      <c r="E58" t="str">
        <f>"广西隆林"</f>
        <v>广西隆林</v>
      </c>
      <c r="F58" t="str">
        <f>"1993年08月"</f>
        <v>1993年08月</v>
      </c>
      <c r="G58" t="str">
        <f>"共青团员"</f>
        <v>共青团员</v>
      </c>
      <c r="H58" t="str">
        <f>"玉林师范学院生物技术"</f>
        <v>玉林师范学院生物技术</v>
      </c>
      <c r="I58" t="str">
        <f>"生物技术"</f>
        <v>生物技术</v>
      </c>
      <c r="J58" t="str">
        <f>"本科学士"</f>
        <v>本科学士</v>
      </c>
      <c r="K58" t="str">
        <f t="shared" si="0"/>
        <v>百色市右江区</v>
      </c>
      <c r="L58" t="str">
        <f>"广西隆林各族自治县隆或乡沙保村大毛草坝屯024号"</f>
        <v>广西隆林各族自治县隆或乡沙保村大毛草坝屯024号</v>
      </c>
      <c r="M58" t="str">
        <f>""</f>
        <v/>
      </c>
      <c r="N58" t="str">
        <f>"2017.06.01"</f>
        <v>2017.06.01</v>
      </c>
      <c r="O58" t="str">
        <f>"不是"</f>
        <v>不是</v>
      </c>
      <c r="P58" t="str">
        <f>"4:高级中学"</f>
        <v>4:高级中学</v>
      </c>
      <c r="Q58" t="str">
        <f>"暂无"</f>
        <v>暂无</v>
      </c>
      <c r="R58" t="str">
        <f>"暂无"</f>
        <v>暂无</v>
      </c>
      <c r="S58" t="str">
        <f>"初中"</f>
        <v>初中</v>
      </c>
      <c r="T58" t="str">
        <f>"209:生物"</f>
        <v>209:生物</v>
      </c>
      <c r="U58" t="str">
        <f t="shared" si="1"/>
        <v>通过</v>
      </c>
    </row>
    <row r="59" spans="1:21" x14ac:dyDescent="0.15">
      <c r="A59" t="str">
        <f>"58"</f>
        <v>58</v>
      </c>
      <c r="B59" t="str">
        <f>"卢建强"</f>
        <v>卢建强</v>
      </c>
      <c r="C59" t="str">
        <f>"男        "</f>
        <v xml:space="preserve">男        </v>
      </c>
      <c r="D59" t="str">
        <f>"汉族"</f>
        <v>汉族</v>
      </c>
      <c r="E59" t="str">
        <f>"玉林"</f>
        <v>玉林</v>
      </c>
      <c r="F59" t="str">
        <f>"1992年07月"</f>
        <v>1992年07月</v>
      </c>
      <c r="G59" t="str">
        <f>"中共党员"</f>
        <v>中共党员</v>
      </c>
      <c r="H59" t="str">
        <f>"广西财经学院财政学"</f>
        <v>广西财经学院财政学</v>
      </c>
      <c r="I59" t="str">
        <f>"财政学"</f>
        <v>财政学</v>
      </c>
      <c r="J59" t="str">
        <f>"本科学士"</f>
        <v>本科学士</v>
      </c>
      <c r="K59" t="str">
        <f t="shared" si="0"/>
        <v>百色市右江区</v>
      </c>
      <c r="L59" t="str">
        <f>"广西玉林市博白县那卜镇那卜街006号"</f>
        <v>广西玉林市博白县那卜镇那卜街006号</v>
      </c>
      <c r="M59" t="str">
        <f>"2017.05.01"</f>
        <v>2017.05.01</v>
      </c>
      <c r="N59" t="str">
        <f>"2017.07.01"</f>
        <v>2017.07.01</v>
      </c>
      <c r="O59" t="str">
        <f>"不是"</f>
        <v>不是</v>
      </c>
      <c r="P59" t="str">
        <f>"0:暂未取得"</f>
        <v>0:暂未取得</v>
      </c>
      <c r="Q59" t="str">
        <f>"暂无"</f>
        <v>暂无</v>
      </c>
      <c r="R59" t="str">
        <f>"暂无"</f>
        <v>暂无</v>
      </c>
      <c r="S59" t="str">
        <f t="shared" ref="S59:S66" si="17">"小学"</f>
        <v>小学</v>
      </c>
      <c r="T59" t="str">
        <f>"102:语文"</f>
        <v>102:语文</v>
      </c>
      <c r="U59" t="str">
        <f t="shared" si="1"/>
        <v>通过</v>
      </c>
    </row>
    <row r="60" spans="1:21" x14ac:dyDescent="0.15">
      <c r="A60" t="str">
        <f>"59"</f>
        <v>59</v>
      </c>
      <c r="B60" t="str">
        <f>"徐慧"</f>
        <v>徐慧</v>
      </c>
      <c r="C60" t="str">
        <f t="shared" ref="C60:C68" si="18">"女        "</f>
        <v xml:space="preserve">女        </v>
      </c>
      <c r="D60" t="str">
        <f>"汉族"</f>
        <v>汉族</v>
      </c>
      <c r="E60" t="str">
        <f>"广西"</f>
        <v>广西</v>
      </c>
      <c r="F60" t="str">
        <f>"1992年06月"</f>
        <v>1992年06月</v>
      </c>
      <c r="G60" t="str">
        <f>"中共党员"</f>
        <v>中共党员</v>
      </c>
      <c r="H60" t="str">
        <f>"百色学院汉语言文学"</f>
        <v>百色学院汉语言文学</v>
      </c>
      <c r="I60" t="str">
        <f>"汉语言文学"</f>
        <v>汉语言文学</v>
      </c>
      <c r="J60" t="str">
        <f>"本科学士"</f>
        <v>本科学士</v>
      </c>
      <c r="K60" t="str">
        <f t="shared" si="0"/>
        <v>百色市右江区</v>
      </c>
      <c r="L60" t="str">
        <f>"广西隆林各族自治县隆或镇沙保村用井屯032号"</f>
        <v>广西隆林各族自治县隆或镇沙保村用井屯032号</v>
      </c>
      <c r="M60" t="str">
        <f>""</f>
        <v/>
      </c>
      <c r="N60" t="str">
        <f>"2017.07.01"</f>
        <v>2017.07.01</v>
      </c>
      <c r="O60" t="str">
        <f t="shared" ref="O60:O71" si="19">"是"</f>
        <v>是</v>
      </c>
      <c r="P60" t="str">
        <f>"2:小学"</f>
        <v>2:小学</v>
      </c>
      <c r="Q60" t="str">
        <f>"20164580022000037"</f>
        <v>20164580022000037</v>
      </c>
      <c r="R60" t="str">
        <f>"2017届毕业生填暂无"</f>
        <v>2017届毕业生填暂无</v>
      </c>
      <c r="S60" t="str">
        <f t="shared" si="17"/>
        <v>小学</v>
      </c>
      <c r="T60" t="str">
        <f>"102:语文"</f>
        <v>102:语文</v>
      </c>
      <c r="U60" t="str">
        <f t="shared" si="1"/>
        <v>通过</v>
      </c>
    </row>
    <row r="61" spans="1:21" x14ac:dyDescent="0.15">
      <c r="A61" t="str">
        <f>"60"</f>
        <v>60</v>
      </c>
      <c r="B61" t="str">
        <f>"张敏"</f>
        <v>张敏</v>
      </c>
      <c r="C61" t="str">
        <f t="shared" si="18"/>
        <v xml:space="preserve">女        </v>
      </c>
      <c r="D61" t="str">
        <f>"汉族"</f>
        <v>汉族</v>
      </c>
      <c r="E61" t="str">
        <f>"广东省阳春市"</f>
        <v>广东省阳春市</v>
      </c>
      <c r="F61" t="str">
        <f>"1993年10月"</f>
        <v>1993年10月</v>
      </c>
      <c r="G61" t="str">
        <f>"中共党员"</f>
        <v>中共党员</v>
      </c>
      <c r="H61" t="str">
        <f>"广西师范学院师园学院数学与应用数学"</f>
        <v>广西师范学院师园学院数学与应用数学</v>
      </c>
      <c r="I61" t="str">
        <f>"数学与应用数学"</f>
        <v>数学与应用数学</v>
      </c>
      <c r="J61" t="str">
        <f>"本科学士"</f>
        <v>本科学士</v>
      </c>
      <c r="K61" t="str">
        <f t="shared" si="0"/>
        <v>百色市右江区</v>
      </c>
      <c r="L61" t="str">
        <f>"广东省阳春市陂面镇新圩街"</f>
        <v>广东省阳春市陂面镇新圩街</v>
      </c>
      <c r="M61" t="str">
        <f>"2015.09.01"</f>
        <v>2015.09.01</v>
      </c>
      <c r="N61" t="str">
        <f>"2016.06.01"</f>
        <v>2016.06.01</v>
      </c>
      <c r="O61" t="str">
        <f t="shared" si="19"/>
        <v>是</v>
      </c>
      <c r="P61" t="str">
        <f>"3:初级中学"</f>
        <v>3:初级中学</v>
      </c>
      <c r="Q61" t="str">
        <f>"20164501432000673"</f>
        <v>20164501432000673</v>
      </c>
      <c r="R61" t="str">
        <f>"136421201605000552"</f>
        <v>136421201605000552</v>
      </c>
      <c r="S61" t="str">
        <f t="shared" si="17"/>
        <v>小学</v>
      </c>
      <c r="T61" t="str">
        <f>"103:数学"</f>
        <v>103:数学</v>
      </c>
      <c r="U61" t="str">
        <f t="shared" si="1"/>
        <v>通过</v>
      </c>
    </row>
    <row r="62" spans="1:21" x14ac:dyDescent="0.15">
      <c r="A62" t="str">
        <f>"61"</f>
        <v>61</v>
      </c>
      <c r="B62" t="str">
        <f>"苏莹"</f>
        <v>苏莹</v>
      </c>
      <c r="C62" t="str">
        <f t="shared" si="18"/>
        <v xml:space="preserve">女        </v>
      </c>
      <c r="D62" t="str">
        <f>"壮族"</f>
        <v>壮族</v>
      </c>
      <c r="E62" t="str">
        <f>"广西田阳县"</f>
        <v>广西田阳县</v>
      </c>
      <c r="F62" t="str">
        <f>"1997年09月"</f>
        <v>1997年09月</v>
      </c>
      <c r="G62" t="str">
        <f t="shared" ref="G62:G69" si="20">"共青团员"</f>
        <v>共青团员</v>
      </c>
      <c r="H62" t="str">
        <f>"广西幼儿师范高等专科学校学前教育"</f>
        <v>广西幼儿师范高等专科学校学前教育</v>
      </c>
      <c r="I62" t="str">
        <f>"学前教育"</f>
        <v>学前教育</v>
      </c>
      <c r="J62" t="str">
        <f>"专科无学位"</f>
        <v>专科无学位</v>
      </c>
      <c r="K62" t="str">
        <f t="shared" si="0"/>
        <v>百色市右江区</v>
      </c>
      <c r="L62" t="str">
        <f>"广西百色市右江区凤凰巷凤凰花园3期"</f>
        <v>广西百色市右江区凤凰巷凤凰花园3期</v>
      </c>
      <c r="M62" t="str">
        <f>"2016.09.01"</f>
        <v>2016.09.01</v>
      </c>
      <c r="N62" t="str">
        <f>"2017.06.01"</f>
        <v>2017.06.01</v>
      </c>
      <c r="O62" t="str">
        <f t="shared" si="19"/>
        <v>是</v>
      </c>
      <c r="P62" t="str">
        <f>"1:幼儿园"</f>
        <v>1:幼儿园</v>
      </c>
      <c r="Q62" t="str">
        <f>"2017届毕业生填暂无"</f>
        <v>2017届毕业生填暂无</v>
      </c>
      <c r="R62" t="str">
        <f>"无"</f>
        <v>无</v>
      </c>
      <c r="S62" t="str">
        <f t="shared" si="17"/>
        <v>小学</v>
      </c>
      <c r="T62" t="str">
        <f>"102:语文"</f>
        <v>102:语文</v>
      </c>
      <c r="U62" t="str">
        <f t="shared" si="1"/>
        <v>通过</v>
      </c>
    </row>
    <row r="63" spans="1:21" x14ac:dyDescent="0.15">
      <c r="A63" t="str">
        <f>"62"</f>
        <v>62</v>
      </c>
      <c r="B63" t="str">
        <f>"吴秀花"</f>
        <v>吴秀花</v>
      </c>
      <c r="C63" t="str">
        <f t="shared" si="18"/>
        <v xml:space="preserve">女        </v>
      </c>
      <c r="D63" t="str">
        <f>"壮族"</f>
        <v>壮族</v>
      </c>
      <c r="E63" t="str">
        <f>"百色市右江区"</f>
        <v>百色市右江区</v>
      </c>
      <c r="F63" t="str">
        <f>"1995年07月"</f>
        <v>1995年07月</v>
      </c>
      <c r="G63" t="str">
        <f t="shared" si="20"/>
        <v>共青团员</v>
      </c>
      <c r="H63" t="str">
        <f>"广西民族大学政治学与行政学"</f>
        <v>广西民族大学政治学与行政学</v>
      </c>
      <c r="I63" t="str">
        <f>"政治学与行政学"</f>
        <v>政治学与行政学</v>
      </c>
      <c r="J63" t="str">
        <f>"本科学士"</f>
        <v>本科学士</v>
      </c>
      <c r="K63" t="str">
        <f t="shared" si="0"/>
        <v>百色市右江区</v>
      </c>
      <c r="L63" t="str">
        <f>"广西百色市右江区汪甸瑶族乡塘兴村"</f>
        <v>广西百色市右江区汪甸瑶族乡塘兴村</v>
      </c>
      <c r="M63" t="str">
        <f>"2017.05.01"</f>
        <v>2017.05.01</v>
      </c>
      <c r="N63" t="str">
        <f>"2017.06.01"</f>
        <v>2017.06.01</v>
      </c>
      <c r="O63" t="str">
        <f t="shared" si="19"/>
        <v>是</v>
      </c>
      <c r="P63" t="str">
        <f>"0:暂未取得"</f>
        <v>0:暂未取得</v>
      </c>
      <c r="Q63" t="str">
        <f t="shared" ref="Q63:R65" si="21">"暂无"</f>
        <v>暂无</v>
      </c>
      <c r="R63" t="str">
        <f t="shared" si="21"/>
        <v>暂无</v>
      </c>
      <c r="S63" t="str">
        <f t="shared" si="17"/>
        <v>小学</v>
      </c>
      <c r="T63" t="str">
        <f>"102:语文"</f>
        <v>102:语文</v>
      </c>
      <c r="U63" t="str">
        <f t="shared" si="1"/>
        <v>通过</v>
      </c>
    </row>
    <row r="64" spans="1:21" x14ac:dyDescent="0.15">
      <c r="A64" t="str">
        <f>"63"</f>
        <v>63</v>
      </c>
      <c r="B64" t="str">
        <f>"岑桂秋"</f>
        <v>岑桂秋</v>
      </c>
      <c r="C64" t="str">
        <f t="shared" si="18"/>
        <v xml:space="preserve">女        </v>
      </c>
      <c r="D64" t="str">
        <f>"壮族"</f>
        <v>壮族</v>
      </c>
      <c r="E64" t="str">
        <f>"广西百色"</f>
        <v>广西百色</v>
      </c>
      <c r="F64" t="str">
        <f>"1994年04月"</f>
        <v>1994年04月</v>
      </c>
      <c r="G64" t="str">
        <f t="shared" si="20"/>
        <v>共青团员</v>
      </c>
      <c r="H64" t="str">
        <f>"百色学院体育教育"</f>
        <v>百色学院体育教育</v>
      </c>
      <c r="I64" t="str">
        <f>"体育教育"</f>
        <v>体育教育</v>
      </c>
      <c r="J64" t="str">
        <f>"本科学士"</f>
        <v>本科学士</v>
      </c>
      <c r="K64" t="str">
        <f t="shared" si="0"/>
        <v>百色市右江区</v>
      </c>
      <c r="L64" t="str">
        <f>"广西百色市右江区龙川镇世加村世加屯240-1号"</f>
        <v>广西百色市右江区龙川镇世加村世加屯240-1号</v>
      </c>
      <c r="M64" t="str">
        <f>""</f>
        <v/>
      </c>
      <c r="N64" t="str">
        <f>"2017.06.01"</f>
        <v>2017.06.01</v>
      </c>
      <c r="O64" t="str">
        <f t="shared" si="19"/>
        <v>是</v>
      </c>
      <c r="P64" t="str">
        <f>"4:高级中学"</f>
        <v>4:高级中学</v>
      </c>
      <c r="Q64" t="str">
        <f t="shared" si="21"/>
        <v>暂无</v>
      </c>
      <c r="R64" t="str">
        <f t="shared" si="21"/>
        <v>暂无</v>
      </c>
      <c r="S64" t="str">
        <f t="shared" si="17"/>
        <v>小学</v>
      </c>
      <c r="T64" t="str">
        <f>"106:体育"</f>
        <v>106:体育</v>
      </c>
      <c r="U64" t="str">
        <f t="shared" si="1"/>
        <v>通过</v>
      </c>
    </row>
    <row r="65" spans="1:21" x14ac:dyDescent="0.15">
      <c r="A65" t="str">
        <f>"64"</f>
        <v>64</v>
      </c>
      <c r="B65" t="str">
        <f>"邓仙桃"</f>
        <v>邓仙桃</v>
      </c>
      <c r="C65" t="str">
        <f t="shared" si="18"/>
        <v xml:space="preserve">女        </v>
      </c>
      <c r="D65" t="str">
        <f>"瑶族"</f>
        <v>瑶族</v>
      </c>
      <c r="E65" t="str">
        <f>"广西凌云县"</f>
        <v>广西凌云县</v>
      </c>
      <c r="F65" t="str">
        <f>"1995年10月"</f>
        <v>1995年10月</v>
      </c>
      <c r="G65" t="str">
        <f t="shared" si="20"/>
        <v>共青团员</v>
      </c>
      <c r="H65" t="str">
        <f>"广西幼儿师范高等专科学校学前教育"</f>
        <v>广西幼儿师范高等专科学校学前教育</v>
      </c>
      <c r="I65" t="str">
        <f>"学前教育"</f>
        <v>学前教育</v>
      </c>
      <c r="J65" t="str">
        <f>"专科无学位"</f>
        <v>专科无学位</v>
      </c>
      <c r="K65" t="str">
        <f t="shared" si="0"/>
        <v>百色市右江区</v>
      </c>
      <c r="L65" t="str">
        <f>"广西壮族自治区百色市凌云县沙里瑶族乡那伏村那合屯32"</f>
        <v>广西壮族自治区百色市凌云县沙里瑶族乡那伏村那合屯32</v>
      </c>
      <c r="M65" t="str">
        <f>""</f>
        <v/>
      </c>
      <c r="N65" t="str">
        <f>"2017.07.01"</f>
        <v>2017.07.01</v>
      </c>
      <c r="O65" t="str">
        <f t="shared" si="19"/>
        <v>是</v>
      </c>
      <c r="P65" t="str">
        <f>"0:暂未取得"</f>
        <v>0:暂未取得</v>
      </c>
      <c r="Q65" t="str">
        <f t="shared" si="21"/>
        <v>暂无</v>
      </c>
      <c r="R65" t="str">
        <f t="shared" si="21"/>
        <v>暂无</v>
      </c>
      <c r="S65" t="str">
        <f t="shared" si="17"/>
        <v>小学</v>
      </c>
      <c r="T65" t="str">
        <f>"103:数学"</f>
        <v>103:数学</v>
      </c>
      <c r="U65" t="str">
        <f t="shared" si="1"/>
        <v>通过</v>
      </c>
    </row>
    <row r="66" spans="1:21" x14ac:dyDescent="0.15">
      <c r="A66" t="str">
        <f>"65"</f>
        <v>65</v>
      </c>
      <c r="B66" t="str">
        <f>"江娜"</f>
        <v>江娜</v>
      </c>
      <c r="C66" t="str">
        <f t="shared" si="18"/>
        <v xml:space="preserve">女        </v>
      </c>
      <c r="D66" t="str">
        <f>"壮族"</f>
        <v>壮族</v>
      </c>
      <c r="E66" t="str">
        <f>"广西百色"</f>
        <v>广西百色</v>
      </c>
      <c r="F66" t="str">
        <f>"1991年03月"</f>
        <v>1991年03月</v>
      </c>
      <c r="G66" t="str">
        <f t="shared" si="20"/>
        <v>共青团员</v>
      </c>
      <c r="H66" t="str">
        <f>"百色学院综合文科教育"</f>
        <v>百色学院综合文科教育</v>
      </c>
      <c r="I66" t="str">
        <f>"综合文科教育"</f>
        <v>综合文科教育</v>
      </c>
      <c r="J66" t="str">
        <f>"专科无学位"</f>
        <v>专科无学位</v>
      </c>
      <c r="K66" t="str">
        <f t="shared" ref="K66:K129" si="22">"百色市右江区"</f>
        <v>百色市右江区</v>
      </c>
      <c r="L66" t="str">
        <f>"广西百色市右江区永乐镇三合村托屯5号"</f>
        <v>广西百色市右江区永乐镇三合村托屯5号</v>
      </c>
      <c r="M66" t="str">
        <f>"2015.06.01"</f>
        <v>2015.06.01</v>
      </c>
      <c r="N66" t="str">
        <f>"2014.06.01"</f>
        <v>2014.06.01</v>
      </c>
      <c r="O66" t="str">
        <f t="shared" si="19"/>
        <v>是</v>
      </c>
      <c r="P66" t="str">
        <f>"3:初级中学"</f>
        <v>3:初级中学</v>
      </c>
      <c r="Q66" t="str">
        <f>"20144580032000303"</f>
        <v>20144580032000303</v>
      </c>
      <c r="R66" t="str">
        <f>"106091201406000120"</f>
        <v>106091201406000120</v>
      </c>
      <c r="S66" t="str">
        <f t="shared" si="17"/>
        <v>小学</v>
      </c>
      <c r="T66" t="str">
        <f>"103:数学"</f>
        <v>103:数学</v>
      </c>
      <c r="U66" t="str">
        <f t="shared" ref="U66:U129" si="23">"通过"</f>
        <v>通过</v>
      </c>
    </row>
    <row r="67" spans="1:21" x14ac:dyDescent="0.15">
      <c r="A67" t="str">
        <f>"66"</f>
        <v>66</v>
      </c>
      <c r="B67" t="str">
        <f>"玉春鹭"</f>
        <v>玉春鹭</v>
      </c>
      <c r="C67" t="str">
        <f t="shared" si="18"/>
        <v xml:space="preserve">女        </v>
      </c>
      <c r="D67" t="str">
        <f>"壮族"</f>
        <v>壮族</v>
      </c>
      <c r="E67" t="str">
        <f>"广西百色"</f>
        <v>广西百色</v>
      </c>
      <c r="F67" t="str">
        <f>"1993年02月"</f>
        <v>1993年02月</v>
      </c>
      <c r="G67" t="str">
        <f t="shared" si="20"/>
        <v>共青团员</v>
      </c>
      <c r="H67" t="str">
        <f>"广西民族师范学院汉语言文学"</f>
        <v>广西民族师范学院汉语言文学</v>
      </c>
      <c r="I67" t="str">
        <f>"汉语言文学"</f>
        <v>汉语言文学</v>
      </c>
      <c r="J67" t="str">
        <f t="shared" ref="J67:J72" si="24">"本科学士"</f>
        <v>本科学士</v>
      </c>
      <c r="K67" t="str">
        <f t="shared" si="22"/>
        <v>百色市右江区</v>
      </c>
      <c r="L67" t="str">
        <f>"广西百色市右江区龙川镇世加村45号"</f>
        <v>广西百色市右江区龙川镇世加村45号</v>
      </c>
      <c r="M67" t="str">
        <f>"2017.05.01"</f>
        <v>2017.05.01</v>
      </c>
      <c r="N67" t="str">
        <f>"2017.07.01"</f>
        <v>2017.07.01</v>
      </c>
      <c r="O67" t="str">
        <f t="shared" si="19"/>
        <v>是</v>
      </c>
      <c r="P67" t="str">
        <f>"3:初级中学"</f>
        <v>3:初级中学</v>
      </c>
      <c r="Q67" t="str">
        <f>"2015453034448"</f>
        <v>2015453034448</v>
      </c>
      <c r="R67" t="str">
        <f>"暂无"</f>
        <v>暂无</v>
      </c>
      <c r="S67" t="str">
        <f>"初中"</f>
        <v>初中</v>
      </c>
      <c r="T67" t="str">
        <f>"202:语文"</f>
        <v>202:语文</v>
      </c>
      <c r="U67" t="str">
        <f t="shared" si="23"/>
        <v>通过</v>
      </c>
    </row>
    <row r="68" spans="1:21" x14ac:dyDescent="0.15">
      <c r="A68" t="str">
        <f>"67"</f>
        <v>67</v>
      </c>
      <c r="B68" t="str">
        <f>"喻顺清"</f>
        <v>喻顺清</v>
      </c>
      <c r="C68" t="str">
        <f t="shared" si="18"/>
        <v xml:space="preserve">女        </v>
      </c>
      <c r="D68" t="str">
        <f>"汉族"</f>
        <v>汉族</v>
      </c>
      <c r="E68" t="str">
        <f>"云南文山"</f>
        <v>云南文山</v>
      </c>
      <c r="F68" t="str">
        <f>"1995年04月"</f>
        <v>1995年04月</v>
      </c>
      <c r="G68" t="str">
        <f t="shared" si="20"/>
        <v>共青团员</v>
      </c>
      <c r="H68" t="str">
        <f>"玉溪师范学院音乐学"</f>
        <v>玉溪师范学院音乐学</v>
      </c>
      <c r="I68" t="str">
        <f>"音乐学"</f>
        <v>音乐学</v>
      </c>
      <c r="J68" t="str">
        <f t="shared" si="24"/>
        <v>本科学士</v>
      </c>
      <c r="K68" t="str">
        <f t="shared" si="22"/>
        <v>百色市右江区</v>
      </c>
      <c r="L68" t="str">
        <f>"云南省文山州壮族苗族自治州广南县曙光乡空山村"</f>
        <v>云南省文山州壮族苗族自治州广南县曙光乡空山村</v>
      </c>
      <c r="M68" t="str">
        <f>"2016.09.01"</f>
        <v>2016.09.01</v>
      </c>
      <c r="N68" t="str">
        <f>"2017.07.01"</f>
        <v>2017.07.01</v>
      </c>
      <c r="O68" t="str">
        <f t="shared" si="19"/>
        <v>是</v>
      </c>
      <c r="P68" t="str">
        <f>"4:高级中学"</f>
        <v>4:高级中学</v>
      </c>
      <c r="Q68" t="str">
        <f>"2017届毕业生填暂无"</f>
        <v>2017届毕业生填暂无</v>
      </c>
      <c r="R68" t="str">
        <f>"2017届毕业生填暂无"</f>
        <v>2017届毕业生填暂无</v>
      </c>
      <c r="S68" t="str">
        <f>"小学"</f>
        <v>小学</v>
      </c>
      <c r="T68" t="str">
        <f>"107:音乐"</f>
        <v>107:音乐</v>
      </c>
      <c r="U68" t="str">
        <f t="shared" si="23"/>
        <v>通过</v>
      </c>
    </row>
    <row r="69" spans="1:21" x14ac:dyDescent="0.15">
      <c r="A69" t="str">
        <f>"68"</f>
        <v>68</v>
      </c>
      <c r="B69" t="str">
        <f>"李运涛"</f>
        <v>李运涛</v>
      </c>
      <c r="C69" t="str">
        <f>"男        "</f>
        <v xml:space="preserve">男        </v>
      </c>
      <c r="D69" t="str">
        <f t="shared" ref="D69:D77" si="25">"壮族"</f>
        <v>壮族</v>
      </c>
      <c r="E69" t="str">
        <f>"百色市右江区"</f>
        <v>百色市右江区</v>
      </c>
      <c r="F69" t="str">
        <f>"1993年11月"</f>
        <v>1993年11月</v>
      </c>
      <c r="G69" t="str">
        <f t="shared" si="20"/>
        <v>共青团员</v>
      </c>
      <c r="H69" t="str">
        <f>"广西师范学院师园学院汉语言文学"</f>
        <v>广西师范学院师园学院汉语言文学</v>
      </c>
      <c r="I69" t="str">
        <f>"汉语言文学"</f>
        <v>汉语言文学</v>
      </c>
      <c r="J69" t="str">
        <f t="shared" si="24"/>
        <v>本科学士</v>
      </c>
      <c r="K69" t="str">
        <f t="shared" si="22"/>
        <v>百色市右江区</v>
      </c>
      <c r="L69" t="str">
        <f>"百色市右江区龙景街道龙景苑"</f>
        <v>百色市右江区龙景街道龙景苑</v>
      </c>
      <c r="M69" t="str">
        <f>"2016.08.01"</f>
        <v>2016.08.01</v>
      </c>
      <c r="N69" t="str">
        <f>"2016.06.01"</f>
        <v>2016.06.01</v>
      </c>
      <c r="O69" t="str">
        <f t="shared" si="19"/>
        <v>是</v>
      </c>
      <c r="P69" t="str">
        <f>"4:高级中学"</f>
        <v>4:高级中学</v>
      </c>
      <c r="Q69" t="str">
        <f>"20164580041001174"</f>
        <v>20164580041001174</v>
      </c>
      <c r="R69" t="str">
        <f>"136421201605001529"</f>
        <v>136421201605001529</v>
      </c>
      <c r="S69" t="str">
        <f>"小学"</f>
        <v>小学</v>
      </c>
      <c r="T69" t="str">
        <f>"102:语文"</f>
        <v>102:语文</v>
      </c>
      <c r="U69" t="str">
        <f t="shared" si="23"/>
        <v>通过</v>
      </c>
    </row>
    <row r="70" spans="1:21" x14ac:dyDescent="0.15">
      <c r="A70" t="str">
        <f>"69"</f>
        <v>69</v>
      </c>
      <c r="B70" t="str">
        <f>"陆云颖"</f>
        <v>陆云颖</v>
      </c>
      <c r="C70" t="str">
        <f>"女        "</f>
        <v xml:space="preserve">女        </v>
      </c>
      <c r="D70" t="str">
        <f t="shared" si="25"/>
        <v>壮族</v>
      </c>
      <c r="E70" t="str">
        <f>"广西百色市"</f>
        <v>广西百色市</v>
      </c>
      <c r="F70" t="str">
        <f>"1994年10月"</f>
        <v>1994年10月</v>
      </c>
      <c r="G70" t="str">
        <f>"中共党员"</f>
        <v>中共党员</v>
      </c>
      <c r="H70" t="str">
        <f>"玉林师范学院英语"</f>
        <v>玉林师范学院英语</v>
      </c>
      <c r="I70" t="str">
        <f>"英语"</f>
        <v>英语</v>
      </c>
      <c r="J70" t="str">
        <f t="shared" si="24"/>
        <v>本科学士</v>
      </c>
      <c r="K70" t="str">
        <f t="shared" si="22"/>
        <v>百色市右江区</v>
      </c>
      <c r="L70" t="str">
        <f>"广西百色市右江区四塘镇新明村下国屯"</f>
        <v>广西百色市右江区四塘镇新明村下国屯</v>
      </c>
      <c r="M70" t="str">
        <f>"2016.09.01"</f>
        <v>2016.09.01</v>
      </c>
      <c r="N70" t="str">
        <f>"2017.06.01"</f>
        <v>2017.06.01</v>
      </c>
      <c r="O70" t="str">
        <f t="shared" si="19"/>
        <v>是</v>
      </c>
      <c r="P70" t="str">
        <f>"3:初级中学"</f>
        <v>3:初级中学</v>
      </c>
      <c r="Q70" t="str">
        <f>"2017届毕业生填暂无"</f>
        <v>2017届毕业生填暂无</v>
      </c>
      <c r="R70" t="str">
        <f>"2017届毕业生填暂无"</f>
        <v>2017届毕业生填暂无</v>
      </c>
      <c r="S70" t="str">
        <f>"初中"</f>
        <v>初中</v>
      </c>
      <c r="T70" t="str">
        <f>"204:英语"</f>
        <v>204:英语</v>
      </c>
      <c r="U70" t="str">
        <f t="shared" si="23"/>
        <v>通过</v>
      </c>
    </row>
    <row r="71" spans="1:21" x14ac:dyDescent="0.15">
      <c r="A71" t="str">
        <f>"70"</f>
        <v>70</v>
      </c>
      <c r="B71" t="str">
        <f>"梁凯丽"</f>
        <v>梁凯丽</v>
      </c>
      <c r="C71" t="str">
        <f>"女        "</f>
        <v xml:space="preserve">女        </v>
      </c>
      <c r="D71" t="str">
        <f t="shared" si="25"/>
        <v>壮族</v>
      </c>
      <c r="E71" t="str">
        <f>"平果"</f>
        <v>平果</v>
      </c>
      <c r="F71" t="str">
        <f>"1994年10月"</f>
        <v>1994年10月</v>
      </c>
      <c r="G71" t="str">
        <f>"共青团员"</f>
        <v>共青团员</v>
      </c>
      <c r="H71" t="str">
        <f>"广西师范学院师园学院小学教育"</f>
        <v>广西师范学院师园学院小学教育</v>
      </c>
      <c r="I71" t="str">
        <f>"小学教育"</f>
        <v>小学教育</v>
      </c>
      <c r="J71" t="str">
        <f t="shared" si="24"/>
        <v>本科学士</v>
      </c>
      <c r="K71" t="str">
        <f t="shared" si="22"/>
        <v>百色市右江区</v>
      </c>
      <c r="L71" t="str">
        <f>"广西百色市城北二路52号"</f>
        <v>广西百色市城北二路52号</v>
      </c>
      <c r="M71" t="str">
        <f>""</f>
        <v/>
      </c>
      <c r="N71" t="str">
        <f>"2017.06.01"</f>
        <v>2017.06.01</v>
      </c>
      <c r="O71" t="str">
        <f t="shared" si="19"/>
        <v>是</v>
      </c>
      <c r="P71" t="str">
        <f>"2:小学"</f>
        <v>2:小学</v>
      </c>
      <c r="Q71" t="str">
        <f>"暂无"</f>
        <v>暂无</v>
      </c>
      <c r="R71" t="str">
        <f>"暂无"</f>
        <v>暂无</v>
      </c>
      <c r="S71" t="str">
        <f>"小学"</f>
        <v>小学</v>
      </c>
      <c r="T71" t="str">
        <f>"103:数学"</f>
        <v>103:数学</v>
      </c>
      <c r="U71" t="str">
        <f t="shared" si="23"/>
        <v>通过</v>
      </c>
    </row>
    <row r="72" spans="1:21" x14ac:dyDescent="0.15">
      <c r="A72" t="str">
        <f>"71"</f>
        <v>71</v>
      </c>
      <c r="B72" t="str">
        <f>"阮小芳"</f>
        <v>阮小芳</v>
      </c>
      <c r="C72" t="str">
        <f>"女        "</f>
        <v xml:space="preserve">女        </v>
      </c>
      <c r="D72" t="str">
        <f t="shared" si="25"/>
        <v>壮族</v>
      </c>
      <c r="E72" t="str">
        <f>"广西平果"</f>
        <v>广西平果</v>
      </c>
      <c r="F72" t="str">
        <f>"1987年11月"</f>
        <v>1987年11月</v>
      </c>
      <c r="G72" t="str">
        <f>"群众"</f>
        <v>群众</v>
      </c>
      <c r="H72" t="str">
        <f>"广西工学院艺术设计"</f>
        <v>广西工学院艺术设计</v>
      </c>
      <c r="I72" t="str">
        <f>"艺术设计"</f>
        <v>艺术设计</v>
      </c>
      <c r="J72" t="str">
        <f t="shared" si="24"/>
        <v>本科学士</v>
      </c>
      <c r="K72" t="str">
        <f t="shared" si="22"/>
        <v>百色市右江区</v>
      </c>
      <c r="L72" t="str">
        <f>"广西凌云县加尤镇"</f>
        <v>广西凌云县加尤镇</v>
      </c>
      <c r="M72" t="str">
        <f>"2014.08.01"</f>
        <v>2014.08.01</v>
      </c>
      <c r="N72" t="str">
        <f>"2011.07.01"</f>
        <v>2011.07.01</v>
      </c>
      <c r="O72" t="str">
        <f>"不是"</f>
        <v>不是</v>
      </c>
      <c r="P72" t="str">
        <f>"5:中等职业学校"</f>
        <v>5:中等职业学校</v>
      </c>
      <c r="Q72" t="str">
        <f>"20114502052000099"</f>
        <v>20114502052000099</v>
      </c>
      <c r="R72" t="str">
        <f>"105941201105130097"</f>
        <v>105941201105130097</v>
      </c>
      <c r="S72" t="str">
        <f>"小学"</f>
        <v>小学</v>
      </c>
      <c r="T72" t="str">
        <f>"108:美术"</f>
        <v>108:美术</v>
      </c>
      <c r="U72" t="str">
        <f t="shared" si="23"/>
        <v>通过</v>
      </c>
    </row>
    <row r="73" spans="1:21" x14ac:dyDescent="0.15">
      <c r="A73" t="str">
        <f>"72"</f>
        <v>72</v>
      </c>
      <c r="B73" t="str">
        <f>"黄青霞"</f>
        <v>黄青霞</v>
      </c>
      <c r="C73" t="str">
        <f>"女        "</f>
        <v xml:space="preserve">女        </v>
      </c>
      <c r="D73" t="str">
        <f t="shared" si="25"/>
        <v>壮族</v>
      </c>
      <c r="E73" t="str">
        <f>"广西百色"</f>
        <v>广西百色</v>
      </c>
      <c r="F73" t="str">
        <f>"1997年02月"</f>
        <v>1997年02月</v>
      </c>
      <c r="G73" t="str">
        <f>"中共党员"</f>
        <v>中共党员</v>
      </c>
      <c r="H73" t="str">
        <f>"桂林师范高等专科学校学前教育"</f>
        <v>桂林师范高等专科学校学前教育</v>
      </c>
      <c r="I73" t="str">
        <f>"学前教育"</f>
        <v>学前教育</v>
      </c>
      <c r="J73" t="str">
        <f>"专科无学位"</f>
        <v>专科无学位</v>
      </c>
      <c r="K73" t="str">
        <f t="shared" si="22"/>
        <v>百色市右江区</v>
      </c>
      <c r="L73" t="str">
        <f>"广西百色市右江区大楞乡中华村那福屯34号"</f>
        <v>广西百色市右江区大楞乡中华村那福屯34号</v>
      </c>
      <c r="M73" t="str">
        <f>"2017.02.01"</f>
        <v>2017.02.01</v>
      </c>
      <c r="N73" t="str">
        <f>"2017.06.01"</f>
        <v>2017.06.01</v>
      </c>
      <c r="O73" t="str">
        <f>"是"</f>
        <v>是</v>
      </c>
      <c r="P73" t="str">
        <f>"1:幼儿园"</f>
        <v>1:幼儿园</v>
      </c>
      <c r="Q73" t="str">
        <f>"暂无"</f>
        <v>暂无</v>
      </c>
      <c r="R73" t="str">
        <f>"暂无"</f>
        <v>暂无</v>
      </c>
      <c r="S73" t="str">
        <f>"小学"</f>
        <v>小学</v>
      </c>
      <c r="T73" t="str">
        <f>"103:数学"</f>
        <v>103:数学</v>
      </c>
      <c r="U73" t="str">
        <f t="shared" si="23"/>
        <v>通过</v>
      </c>
    </row>
    <row r="74" spans="1:21" x14ac:dyDescent="0.15">
      <c r="A74" t="str">
        <f>"73"</f>
        <v>73</v>
      </c>
      <c r="B74" t="str">
        <f>"李卓益"</f>
        <v>李卓益</v>
      </c>
      <c r="C74" t="str">
        <f>"男        "</f>
        <v xml:space="preserve">男        </v>
      </c>
      <c r="D74" t="str">
        <f t="shared" si="25"/>
        <v>壮族</v>
      </c>
      <c r="E74" t="str">
        <f>"广西靖西"</f>
        <v>广西靖西</v>
      </c>
      <c r="F74" t="str">
        <f>"1990年01月"</f>
        <v>1990年01月</v>
      </c>
      <c r="G74" t="str">
        <f>"中共党员"</f>
        <v>中共党员</v>
      </c>
      <c r="H74" t="str">
        <f>"百色学院体育教育"</f>
        <v>百色学院体育教育</v>
      </c>
      <c r="I74" t="str">
        <f>"体育教育"</f>
        <v>体育教育</v>
      </c>
      <c r="J74" t="str">
        <f>"本科学士"</f>
        <v>本科学士</v>
      </c>
      <c r="K74" t="str">
        <f t="shared" si="22"/>
        <v>百色市右江区</v>
      </c>
      <c r="L74" t="str">
        <f>"广西百色市靖西市城东一小区352号"</f>
        <v>广西百色市靖西市城东一小区352号</v>
      </c>
      <c r="M74" t="str">
        <f>""</f>
        <v/>
      </c>
      <c r="N74" t="str">
        <f>"2017.06.01"</f>
        <v>2017.06.01</v>
      </c>
      <c r="O74" t="str">
        <f>"是"</f>
        <v>是</v>
      </c>
      <c r="P74" t="str">
        <f>"0:暂未取得"</f>
        <v>0:暂未取得</v>
      </c>
      <c r="Q74" t="str">
        <f>"2017届毕业生填暂无"</f>
        <v>2017届毕业生填暂无</v>
      </c>
      <c r="R74" t="str">
        <f>"2017届毕业生填暂无"</f>
        <v>2017届毕业生填暂无</v>
      </c>
      <c r="S74" t="str">
        <f>"小学"</f>
        <v>小学</v>
      </c>
      <c r="T74" t="str">
        <f>"106:体育"</f>
        <v>106:体育</v>
      </c>
      <c r="U74" t="str">
        <f t="shared" si="23"/>
        <v>通过</v>
      </c>
    </row>
    <row r="75" spans="1:21" x14ac:dyDescent="0.15">
      <c r="A75" t="str">
        <f>"74"</f>
        <v>74</v>
      </c>
      <c r="B75" t="str">
        <f>"黄雪秀"</f>
        <v>黄雪秀</v>
      </c>
      <c r="C75" t="str">
        <f>"女        "</f>
        <v xml:space="preserve">女        </v>
      </c>
      <c r="D75" t="str">
        <f t="shared" si="25"/>
        <v>壮族</v>
      </c>
      <c r="E75" t="str">
        <f>"广西百色市右江区"</f>
        <v>广西百色市右江区</v>
      </c>
      <c r="F75" t="str">
        <f>"1994年12月"</f>
        <v>1994年12月</v>
      </c>
      <c r="G75" t="str">
        <f>"中共预备党员"</f>
        <v>中共预备党员</v>
      </c>
      <c r="H75" t="str">
        <f>"广西民族师范学院英语教育"</f>
        <v>广西民族师范学院英语教育</v>
      </c>
      <c r="I75" t="str">
        <f>"英语教育"</f>
        <v>英语教育</v>
      </c>
      <c r="J75" t="str">
        <f>"本科学士"</f>
        <v>本科学士</v>
      </c>
      <c r="K75" t="str">
        <f t="shared" si="22"/>
        <v>百色市右江区</v>
      </c>
      <c r="L75" t="str">
        <f>"广西百色市右江区汪甸瑶族乡下塘村"</f>
        <v>广西百色市右江区汪甸瑶族乡下塘村</v>
      </c>
      <c r="M75" t="str">
        <f>"2017.05.01"</f>
        <v>2017.05.01</v>
      </c>
      <c r="N75" t="str">
        <f>"2017.07.01"</f>
        <v>2017.07.01</v>
      </c>
      <c r="O75" t="str">
        <f>"是"</f>
        <v>是</v>
      </c>
      <c r="P75" t="str">
        <f>"4:高级中学"</f>
        <v>4:高级中学</v>
      </c>
      <c r="Q75" t="str">
        <f>"暂无"</f>
        <v>暂无</v>
      </c>
      <c r="R75" t="str">
        <f>"暂无"</f>
        <v>暂无</v>
      </c>
      <c r="S75" t="str">
        <f>"初中"</f>
        <v>初中</v>
      </c>
      <c r="T75" t="str">
        <f>"204:英语"</f>
        <v>204:英语</v>
      </c>
      <c r="U75" t="str">
        <f t="shared" si="23"/>
        <v>通过</v>
      </c>
    </row>
    <row r="76" spans="1:21" x14ac:dyDescent="0.15">
      <c r="A76" t="str">
        <f>"75"</f>
        <v>75</v>
      </c>
      <c r="B76" t="str">
        <f>"陆识远"</f>
        <v>陆识远</v>
      </c>
      <c r="C76" t="str">
        <f>"男        "</f>
        <v xml:space="preserve">男        </v>
      </c>
      <c r="D76" t="str">
        <f t="shared" si="25"/>
        <v>壮族</v>
      </c>
      <c r="E76" t="str">
        <f>"广西百色"</f>
        <v>广西百色</v>
      </c>
      <c r="F76" t="str">
        <f>"1992年06月"</f>
        <v>1992年06月</v>
      </c>
      <c r="G76" t="str">
        <f>"共青团员"</f>
        <v>共青团员</v>
      </c>
      <c r="H76" t="str">
        <f>"广西师范大学机械设计制造及其自动化"</f>
        <v>广西师范大学机械设计制造及其自动化</v>
      </c>
      <c r="I76" t="str">
        <f>"机械设计制造及其自动化"</f>
        <v>机械设计制造及其自动化</v>
      </c>
      <c r="J76" t="str">
        <f>"本科学士"</f>
        <v>本科学士</v>
      </c>
      <c r="K76" t="str">
        <f t="shared" si="22"/>
        <v>百色市右江区</v>
      </c>
      <c r="L76" t="str">
        <f>"广西百色市右江区民生升平巷7号"</f>
        <v>广西百色市右江区民生升平巷7号</v>
      </c>
      <c r="M76" t="str">
        <f>"2016.07.01"</f>
        <v>2016.07.01</v>
      </c>
      <c r="N76" t="str">
        <f>"2016.06.01"</f>
        <v>2016.06.01</v>
      </c>
      <c r="O76" t="str">
        <f>"是"</f>
        <v>是</v>
      </c>
      <c r="P76" t="str">
        <f>"5:中等职业学校"</f>
        <v>5:中等职业学校</v>
      </c>
      <c r="Q76" t="str">
        <f>"20164503051003138"</f>
        <v>20164503051003138</v>
      </c>
      <c r="R76" t="str">
        <f>"106021201605003810"</f>
        <v>106021201605003810</v>
      </c>
      <c r="S76" t="str">
        <f>"小学"</f>
        <v>小学</v>
      </c>
      <c r="T76" t="str">
        <f>"103:数学"</f>
        <v>103:数学</v>
      </c>
      <c r="U76" t="str">
        <f t="shared" si="23"/>
        <v>通过</v>
      </c>
    </row>
    <row r="77" spans="1:21" x14ac:dyDescent="0.15">
      <c r="A77" t="str">
        <f>"76"</f>
        <v>76</v>
      </c>
      <c r="B77" t="str">
        <f>"梁兰清"</f>
        <v>梁兰清</v>
      </c>
      <c r="C77" t="str">
        <f>"女        "</f>
        <v xml:space="preserve">女        </v>
      </c>
      <c r="D77" t="str">
        <f t="shared" si="25"/>
        <v>壮族</v>
      </c>
      <c r="E77" t="str">
        <f>"广西靖西"</f>
        <v>广西靖西</v>
      </c>
      <c r="F77" t="str">
        <f>"1994年12月"</f>
        <v>1994年12月</v>
      </c>
      <c r="G77" t="str">
        <f>"中共党员"</f>
        <v>中共党员</v>
      </c>
      <c r="H77" t="str">
        <f>"广西财经学院国际商务"</f>
        <v>广西财经学院国际商务</v>
      </c>
      <c r="I77" t="str">
        <f>"国际商务"</f>
        <v>国际商务</v>
      </c>
      <c r="J77" t="str">
        <f>"本科学士"</f>
        <v>本科学士</v>
      </c>
      <c r="K77" t="str">
        <f t="shared" si="22"/>
        <v>百色市右江区</v>
      </c>
      <c r="L77" t="str">
        <f>"广西靖西县果乐乡亮卜村大亮屯70号"</f>
        <v>广西靖西县果乐乡亮卜村大亮屯70号</v>
      </c>
      <c r="M77" t="str">
        <f>"2017.02.01"</f>
        <v>2017.02.01</v>
      </c>
      <c r="N77" t="str">
        <f>"2017.07.01"</f>
        <v>2017.07.01</v>
      </c>
      <c r="O77" t="str">
        <f>"不是"</f>
        <v>不是</v>
      </c>
      <c r="P77" t="str">
        <f>"3:初级中学"</f>
        <v>3:初级中学</v>
      </c>
      <c r="Q77" t="str">
        <f>"2017届毕业生填暂无"</f>
        <v>2017届毕业生填暂无</v>
      </c>
      <c r="R77" t="str">
        <f>"2017届毕业生填暂无"</f>
        <v>2017届毕业生填暂无</v>
      </c>
      <c r="S77" t="str">
        <f>"小学"</f>
        <v>小学</v>
      </c>
      <c r="T77" t="str">
        <f>"102:语文"</f>
        <v>102:语文</v>
      </c>
      <c r="U77" t="str">
        <f t="shared" si="23"/>
        <v>通过</v>
      </c>
    </row>
    <row r="78" spans="1:21" x14ac:dyDescent="0.15">
      <c r="A78" t="str">
        <f>"77"</f>
        <v>77</v>
      </c>
      <c r="B78" t="str">
        <f>"陈虹先"</f>
        <v>陈虹先</v>
      </c>
      <c r="C78" t="str">
        <f>"男        "</f>
        <v xml:space="preserve">男        </v>
      </c>
      <c r="D78" t="str">
        <f>"汉族"</f>
        <v>汉族</v>
      </c>
      <c r="E78" t="str">
        <f>"海南海口"</f>
        <v>海南海口</v>
      </c>
      <c r="F78" t="str">
        <f>"1993年09月"</f>
        <v>1993年09月</v>
      </c>
      <c r="G78" t="str">
        <f>"中共党员"</f>
        <v>中共党员</v>
      </c>
      <c r="H78" t="str">
        <f>"百色学院社会体育指导与管理"</f>
        <v>百色学院社会体育指导与管理</v>
      </c>
      <c r="I78" t="str">
        <f>"社会体育指导与管理"</f>
        <v>社会体育指导与管理</v>
      </c>
      <c r="J78" t="str">
        <f>"本科学士"</f>
        <v>本科学士</v>
      </c>
      <c r="K78" t="str">
        <f t="shared" si="22"/>
        <v>百色市右江区</v>
      </c>
      <c r="L78" t="str">
        <f>"海南省海口市旧州镇红卫村委会美邦村"</f>
        <v>海南省海口市旧州镇红卫村委会美邦村</v>
      </c>
      <c r="M78" t="str">
        <f>""</f>
        <v/>
      </c>
      <c r="N78" t="str">
        <f>"2017.06.01"</f>
        <v>2017.06.01</v>
      </c>
      <c r="O78" t="str">
        <f>"是"</f>
        <v>是</v>
      </c>
      <c r="P78" t="str">
        <f>"0:暂未取得"</f>
        <v>0:暂未取得</v>
      </c>
      <c r="Q78" t="str">
        <f>"暂无"</f>
        <v>暂无</v>
      </c>
      <c r="R78" t="str">
        <f>"暂无"</f>
        <v>暂无</v>
      </c>
      <c r="S78" t="str">
        <f>"初中"</f>
        <v>初中</v>
      </c>
      <c r="T78" t="str">
        <f>"212:体育"</f>
        <v>212:体育</v>
      </c>
      <c r="U78" t="str">
        <f t="shared" si="23"/>
        <v>通过</v>
      </c>
    </row>
    <row r="79" spans="1:21" x14ac:dyDescent="0.15">
      <c r="A79" t="str">
        <f>"78"</f>
        <v>78</v>
      </c>
      <c r="B79" t="str">
        <f>"陆新艳"</f>
        <v>陆新艳</v>
      </c>
      <c r="C79" t="str">
        <f>"女        "</f>
        <v xml:space="preserve">女        </v>
      </c>
      <c r="D79" t="str">
        <f>"壮族"</f>
        <v>壮族</v>
      </c>
      <c r="E79" t="str">
        <f>"广西百色"</f>
        <v>广西百色</v>
      </c>
      <c r="F79" t="str">
        <f>"1995年05月"</f>
        <v>1995年05月</v>
      </c>
      <c r="G79" t="str">
        <f>"共青团员"</f>
        <v>共青团员</v>
      </c>
      <c r="H79" t="str">
        <f>"广西幼儿师范高等专科学校音乐教育"</f>
        <v>广西幼儿师范高等专科学校音乐教育</v>
      </c>
      <c r="I79" t="str">
        <f>"音乐教育"</f>
        <v>音乐教育</v>
      </c>
      <c r="J79" t="str">
        <f>"专科无学位"</f>
        <v>专科无学位</v>
      </c>
      <c r="K79" t="str">
        <f t="shared" si="22"/>
        <v>百色市右江区</v>
      </c>
      <c r="L79" t="str">
        <f>"广西百色市右江区阳圩镇六甘村六甘屯29号"</f>
        <v>广西百色市右江区阳圩镇六甘村六甘屯29号</v>
      </c>
      <c r="M79" t="str">
        <f>"2017.02.01"</f>
        <v>2017.02.01</v>
      </c>
      <c r="N79" t="str">
        <f>"2017.07.01"</f>
        <v>2017.07.01</v>
      </c>
      <c r="O79" t="str">
        <f>"是"</f>
        <v>是</v>
      </c>
      <c r="P79" t="str">
        <f>"1:幼儿园"</f>
        <v>1:幼儿园</v>
      </c>
      <c r="Q79" t="str">
        <f>"2017届毕业生填暂无"</f>
        <v>2017届毕业生填暂无</v>
      </c>
      <c r="R79" t="str">
        <f>"2017届毕业生填暂无"</f>
        <v>2017届毕业生填暂无</v>
      </c>
      <c r="S79" t="str">
        <f>"小学"</f>
        <v>小学</v>
      </c>
      <c r="T79" t="str">
        <f>"107:音乐"</f>
        <v>107:音乐</v>
      </c>
      <c r="U79" t="str">
        <f t="shared" si="23"/>
        <v>通过</v>
      </c>
    </row>
    <row r="80" spans="1:21" x14ac:dyDescent="0.15">
      <c r="A80" t="str">
        <f>"79"</f>
        <v>79</v>
      </c>
      <c r="B80" t="str">
        <f>"廖莎"</f>
        <v>廖莎</v>
      </c>
      <c r="C80" t="str">
        <f>"女        "</f>
        <v xml:space="preserve">女        </v>
      </c>
      <c r="D80" t="str">
        <f>"壮族"</f>
        <v>壮族</v>
      </c>
      <c r="E80" t="str">
        <f>"广西田东县"</f>
        <v>广西田东县</v>
      </c>
      <c r="F80" t="str">
        <f>"1993年12月"</f>
        <v>1993年12月</v>
      </c>
      <c r="G80" t="str">
        <f>"共青团员"</f>
        <v>共青团员</v>
      </c>
      <c r="H80" t="str">
        <f>"广西民族师范学院汉语言文学师范教育"</f>
        <v>广西民族师范学院汉语言文学师范教育</v>
      </c>
      <c r="I80" t="str">
        <f>"汉语言文学师范教育"</f>
        <v>汉语言文学师范教育</v>
      </c>
      <c r="J80" t="str">
        <f>"本科学士"</f>
        <v>本科学士</v>
      </c>
      <c r="K80" t="str">
        <f t="shared" si="22"/>
        <v>百色市右江区</v>
      </c>
      <c r="L80" t="str">
        <f>"广西壮族自治区百色市田东县平马镇上法村"</f>
        <v>广西壮族自治区百色市田东县平马镇上法村</v>
      </c>
      <c r="M80" t="str">
        <f>"2017.05.01"</f>
        <v>2017.05.01</v>
      </c>
      <c r="N80" t="str">
        <f>"2017.07.01"</f>
        <v>2017.07.01</v>
      </c>
      <c r="O80" t="str">
        <f>"是"</f>
        <v>是</v>
      </c>
      <c r="P80" t="str">
        <f>"4:高级中学"</f>
        <v>4:高级中学</v>
      </c>
      <c r="Q80" t="str">
        <f>"暂无"</f>
        <v>暂无</v>
      </c>
      <c r="R80" t="str">
        <f>"暂无"</f>
        <v>暂无</v>
      </c>
      <c r="S80" t="str">
        <f>"初中"</f>
        <v>初中</v>
      </c>
      <c r="T80" t="str">
        <f>"202:语文"</f>
        <v>202:语文</v>
      </c>
      <c r="U80" t="str">
        <f t="shared" si="23"/>
        <v>通过</v>
      </c>
    </row>
    <row r="81" spans="1:21" x14ac:dyDescent="0.15">
      <c r="A81" t="str">
        <f>"80"</f>
        <v>80</v>
      </c>
      <c r="B81" t="str">
        <f>"黄美甜"</f>
        <v>黄美甜</v>
      </c>
      <c r="C81" t="str">
        <f>"女        "</f>
        <v xml:space="preserve">女        </v>
      </c>
      <c r="D81" t="str">
        <f>"壮族"</f>
        <v>壮族</v>
      </c>
      <c r="E81" t="str">
        <f>"广西德保县"</f>
        <v>广西德保县</v>
      </c>
      <c r="F81" t="str">
        <f>"1994年08月"</f>
        <v>1994年08月</v>
      </c>
      <c r="G81" t="str">
        <f>"共青团员"</f>
        <v>共青团员</v>
      </c>
      <c r="H81" t="str">
        <f>"桂林理工大学博文管理学院英语"</f>
        <v>桂林理工大学博文管理学院英语</v>
      </c>
      <c r="I81" t="str">
        <f>"英语"</f>
        <v>英语</v>
      </c>
      <c r="J81" t="str">
        <f>"本科学士"</f>
        <v>本科学士</v>
      </c>
      <c r="K81" t="str">
        <f t="shared" si="22"/>
        <v>百色市右江区</v>
      </c>
      <c r="L81" t="str">
        <f>"广西德保县敬德镇"</f>
        <v>广西德保县敬德镇</v>
      </c>
      <c r="M81" t="str">
        <f>"2016.12.01"</f>
        <v>2016.12.01</v>
      </c>
      <c r="N81" t="str">
        <f>"2017.06.01"</f>
        <v>2017.06.01</v>
      </c>
      <c r="O81" t="str">
        <f>"不是"</f>
        <v>不是</v>
      </c>
      <c r="P81" t="str">
        <f>"0:暂未取得"</f>
        <v>0:暂未取得</v>
      </c>
      <c r="Q81" t="str">
        <f>"暂无广西"</f>
        <v>暂无广西</v>
      </c>
      <c r="R81" t="str">
        <f>"暂无"</f>
        <v>暂无</v>
      </c>
      <c r="S81" t="str">
        <f>"初中"</f>
        <v>初中</v>
      </c>
      <c r="T81" t="str">
        <f>"204:英语"</f>
        <v>204:英语</v>
      </c>
      <c r="U81" t="str">
        <f t="shared" si="23"/>
        <v>通过</v>
      </c>
    </row>
    <row r="82" spans="1:21" x14ac:dyDescent="0.15">
      <c r="A82" t="str">
        <f>"81"</f>
        <v>81</v>
      </c>
      <c r="B82" t="str">
        <f>"陆芸燕"</f>
        <v>陆芸燕</v>
      </c>
      <c r="C82" t="str">
        <f>"女        "</f>
        <v xml:space="preserve">女        </v>
      </c>
      <c r="D82" t="str">
        <f>"壮族"</f>
        <v>壮族</v>
      </c>
      <c r="E82" t="str">
        <f>"广西百色"</f>
        <v>广西百色</v>
      </c>
      <c r="F82" t="str">
        <f>"1994年08月"</f>
        <v>1994年08月</v>
      </c>
      <c r="G82" t="str">
        <f>"共青团员"</f>
        <v>共青团员</v>
      </c>
      <c r="H82" t="str">
        <f>"桂林师范高等专科学校美术教育"</f>
        <v>桂林师范高等专科学校美术教育</v>
      </c>
      <c r="I82" t="str">
        <f>"美术教育"</f>
        <v>美术教育</v>
      </c>
      <c r="J82" t="str">
        <f>"专科无学位"</f>
        <v>专科无学位</v>
      </c>
      <c r="K82" t="str">
        <f t="shared" si="22"/>
        <v>百色市右江区</v>
      </c>
      <c r="L82" t="str">
        <f>"广西省百色市右江区四塘镇鲁平村百仁屯10号"</f>
        <v>广西省百色市右江区四塘镇鲁平村百仁屯10号</v>
      </c>
      <c r="M82" t="str">
        <f>"2017.03.01"</f>
        <v>2017.03.01</v>
      </c>
      <c r="N82" t="str">
        <f>"2017.06.01"</f>
        <v>2017.06.01</v>
      </c>
      <c r="O82" t="str">
        <f t="shared" ref="O82:O89" si="26">"是"</f>
        <v>是</v>
      </c>
      <c r="P82" t="str">
        <f>"0:暂未取得"</f>
        <v>0:暂未取得</v>
      </c>
      <c r="Q82" t="str">
        <f>"2017届毕业生填暂无"</f>
        <v>2017届毕业生填暂无</v>
      </c>
      <c r="R82" t="str">
        <f>"2017届毕业生填暂无"</f>
        <v>2017届毕业生填暂无</v>
      </c>
      <c r="S82" t="str">
        <f>"小学"</f>
        <v>小学</v>
      </c>
      <c r="T82" t="str">
        <f>"108:美术"</f>
        <v>108:美术</v>
      </c>
      <c r="U82" t="str">
        <f t="shared" si="23"/>
        <v>通过</v>
      </c>
    </row>
    <row r="83" spans="1:21" x14ac:dyDescent="0.15">
      <c r="A83" t="str">
        <f>"82"</f>
        <v>82</v>
      </c>
      <c r="B83" t="str">
        <f>"梁婷"</f>
        <v>梁婷</v>
      </c>
      <c r="C83" t="str">
        <f>"女        "</f>
        <v xml:space="preserve">女        </v>
      </c>
      <c r="D83" t="str">
        <f>"壮族"</f>
        <v>壮族</v>
      </c>
      <c r="E83" t="str">
        <f>"广西天等县"</f>
        <v>广西天等县</v>
      </c>
      <c r="F83" t="str">
        <f>"1992年06月"</f>
        <v>1992年06月</v>
      </c>
      <c r="G83" t="str">
        <f>"中共预备党员"</f>
        <v>中共预备党员</v>
      </c>
      <c r="H83" t="str">
        <f>"广西民族师范学院汉语言文学教育"</f>
        <v>广西民族师范学院汉语言文学教育</v>
      </c>
      <c r="I83" t="str">
        <f>"汉语言文学教育"</f>
        <v>汉语言文学教育</v>
      </c>
      <c r="J83" t="str">
        <f>"本科学士"</f>
        <v>本科学士</v>
      </c>
      <c r="K83" t="str">
        <f t="shared" si="22"/>
        <v>百色市右江区</v>
      </c>
      <c r="L83" t="str">
        <f>"广西崇左市天等县东平镇利益村利江屯114号"</f>
        <v>广西崇左市天等县东平镇利益村利江屯114号</v>
      </c>
      <c r="M83" t="str">
        <f>""</f>
        <v/>
      </c>
      <c r="N83" t="str">
        <f>"2017.07.01"</f>
        <v>2017.07.01</v>
      </c>
      <c r="O83" t="str">
        <f t="shared" si="26"/>
        <v>是</v>
      </c>
      <c r="P83" t="str">
        <f>"4:高级中学"</f>
        <v>4:高级中学</v>
      </c>
      <c r="Q83" t="str">
        <f>"暂无"</f>
        <v>暂无</v>
      </c>
      <c r="R83" t="str">
        <f>"暂无"</f>
        <v>暂无</v>
      </c>
      <c r="S83" t="str">
        <f>"初中"</f>
        <v>初中</v>
      </c>
      <c r="T83" t="str">
        <f>"202:语文"</f>
        <v>202:语文</v>
      </c>
      <c r="U83" t="str">
        <f t="shared" si="23"/>
        <v>通过</v>
      </c>
    </row>
    <row r="84" spans="1:21" x14ac:dyDescent="0.15">
      <c r="A84" t="str">
        <f>"83"</f>
        <v>83</v>
      </c>
      <c r="B84" t="str">
        <f>"杜国志"</f>
        <v>杜国志</v>
      </c>
      <c r="C84" t="str">
        <f>"男        "</f>
        <v xml:space="preserve">男        </v>
      </c>
      <c r="D84" t="str">
        <f>"汉族"</f>
        <v>汉族</v>
      </c>
      <c r="E84" t="str">
        <f>"广西百色市凌云县"</f>
        <v>广西百色市凌云县</v>
      </c>
      <c r="F84" t="str">
        <f>"1988年07月"</f>
        <v>1988年07月</v>
      </c>
      <c r="G84" t="str">
        <f>"中共党员"</f>
        <v>中共党员</v>
      </c>
      <c r="H84" t="str">
        <f>"广西玉林师范学院体育学院传统武术"</f>
        <v>广西玉林师范学院体育学院传统武术</v>
      </c>
      <c r="I84" t="str">
        <f>"传统武术"</f>
        <v>传统武术</v>
      </c>
      <c r="J84" t="str">
        <f>"本科学士"</f>
        <v>本科学士</v>
      </c>
      <c r="K84" t="str">
        <f t="shared" si="22"/>
        <v>百色市右江区</v>
      </c>
      <c r="L84" t="str">
        <f>"广西百色市凌云县泗城镇新秀社区西溪小区335号"</f>
        <v>广西百色市凌云县泗城镇新秀社区西溪小区335号</v>
      </c>
      <c r="M84" t="str">
        <f>"2014.09.01"</f>
        <v>2014.09.01</v>
      </c>
      <c r="N84" t="str">
        <f>"2014.06.01"</f>
        <v>2014.06.01</v>
      </c>
      <c r="O84" t="str">
        <f t="shared" si="26"/>
        <v>是</v>
      </c>
      <c r="P84" t="str">
        <f>"4:高级中学"</f>
        <v>4:高级中学</v>
      </c>
      <c r="Q84" t="str">
        <f>"20134550041001224"</f>
        <v>20134550041001224</v>
      </c>
      <c r="R84" t="str">
        <f>"10606120105002209"</f>
        <v>10606120105002209</v>
      </c>
      <c r="S84" t="str">
        <f>"初中"</f>
        <v>初中</v>
      </c>
      <c r="T84" t="str">
        <f>"212:体育"</f>
        <v>212:体育</v>
      </c>
      <c r="U84" t="str">
        <f t="shared" si="23"/>
        <v>通过</v>
      </c>
    </row>
    <row r="85" spans="1:21" x14ac:dyDescent="0.15">
      <c r="A85" t="str">
        <f>"84"</f>
        <v>84</v>
      </c>
      <c r="B85" t="str">
        <f>"何桂花"</f>
        <v>何桂花</v>
      </c>
      <c r="C85" t="str">
        <f>"女        "</f>
        <v xml:space="preserve">女        </v>
      </c>
      <c r="D85" t="str">
        <f>"壮族"</f>
        <v>壮族</v>
      </c>
      <c r="E85" t="str">
        <f>"广西那坡"</f>
        <v>广西那坡</v>
      </c>
      <c r="F85" t="str">
        <f>"1993年11月"</f>
        <v>1993年11月</v>
      </c>
      <c r="G85" t="str">
        <f>"中共党员"</f>
        <v>中共党员</v>
      </c>
      <c r="H85" t="str">
        <f>"钦州学院体育教育"</f>
        <v>钦州学院体育教育</v>
      </c>
      <c r="I85" t="str">
        <f>"体育教育"</f>
        <v>体育教育</v>
      </c>
      <c r="J85" t="str">
        <f>"本科学士"</f>
        <v>本科学士</v>
      </c>
      <c r="K85" t="str">
        <f t="shared" si="22"/>
        <v>百色市右江区</v>
      </c>
      <c r="L85" t="str">
        <f>"广西百色市那坡县龙合乡果桃村马独屯64号"</f>
        <v>广西百色市那坡县龙合乡果桃村马独屯64号</v>
      </c>
      <c r="M85" t="str">
        <f>"2017.02.01"</f>
        <v>2017.02.01</v>
      </c>
      <c r="N85" t="str">
        <f>"2017.06.01"</f>
        <v>2017.06.01</v>
      </c>
      <c r="O85" t="str">
        <f t="shared" si="26"/>
        <v>是</v>
      </c>
      <c r="P85" t="str">
        <f>"4:高级中学"</f>
        <v>4:高级中学</v>
      </c>
      <c r="Q85" t="str">
        <f>"2017届毕业生填暂无"</f>
        <v>2017届毕业生填暂无</v>
      </c>
      <c r="R85" t="str">
        <f>"暂无"</f>
        <v>暂无</v>
      </c>
      <c r="S85" t="str">
        <f>"初中"</f>
        <v>初中</v>
      </c>
      <c r="T85" t="str">
        <f>"212:体育"</f>
        <v>212:体育</v>
      </c>
      <c r="U85" t="str">
        <f t="shared" si="23"/>
        <v>通过</v>
      </c>
    </row>
    <row r="86" spans="1:21" x14ac:dyDescent="0.15">
      <c r="A86" t="str">
        <f>"85"</f>
        <v>85</v>
      </c>
      <c r="B86" t="str">
        <f>"黎思宏"</f>
        <v>黎思宏</v>
      </c>
      <c r="C86" t="str">
        <f>"男        "</f>
        <v xml:space="preserve">男        </v>
      </c>
      <c r="D86" t="str">
        <f>"壮族"</f>
        <v>壮族</v>
      </c>
      <c r="E86" t="str">
        <f>"广西"</f>
        <v>广西</v>
      </c>
      <c r="F86" t="str">
        <f>"1994年04月"</f>
        <v>1994年04月</v>
      </c>
      <c r="G86" t="str">
        <f>"共青团员"</f>
        <v>共青团员</v>
      </c>
      <c r="H86" t="str">
        <f>"百色学院体育教育"</f>
        <v>百色学院体育教育</v>
      </c>
      <c r="I86" t="str">
        <f>"体育教育"</f>
        <v>体育教育</v>
      </c>
      <c r="J86" t="str">
        <f>"本科学士"</f>
        <v>本科学士</v>
      </c>
      <c r="K86" t="str">
        <f t="shared" si="22"/>
        <v>百色市右江区</v>
      </c>
      <c r="L86" t="str">
        <f>"广西百色市西林县普合乡大河村斗米屯"</f>
        <v>广西百色市西林县普合乡大河村斗米屯</v>
      </c>
      <c r="M86" t="str">
        <f>"2016.03.01"</f>
        <v>2016.03.01</v>
      </c>
      <c r="N86" t="str">
        <f>"2017.07.01"</f>
        <v>2017.07.01</v>
      </c>
      <c r="O86" t="str">
        <f t="shared" si="26"/>
        <v>是</v>
      </c>
      <c r="P86" t="str">
        <f>"0:暂未取得"</f>
        <v>0:暂未取得</v>
      </c>
      <c r="Q86" t="str">
        <f>"暂无"</f>
        <v>暂无</v>
      </c>
      <c r="R86" t="str">
        <f>"暂无"</f>
        <v>暂无</v>
      </c>
      <c r="S86" t="str">
        <f>"初中"</f>
        <v>初中</v>
      </c>
      <c r="T86" t="str">
        <f>"212:体育"</f>
        <v>212:体育</v>
      </c>
      <c r="U86" t="str">
        <f t="shared" si="23"/>
        <v>通过</v>
      </c>
    </row>
    <row r="87" spans="1:21" x14ac:dyDescent="0.15">
      <c r="A87" t="str">
        <f>"86"</f>
        <v>86</v>
      </c>
      <c r="B87" t="str">
        <f>"袁素素"</f>
        <v>袁素素</v>
      </c>
      <c r="C87" t="str">
        <f>"女        "</f>
        <v xml:space="preserve">女        </v>
      </c>
      <c r="D87" t="str">
        <f>"汉族"</f>
        <v>汉族</v>
      </c>
      <c r="E87" t="str">
        <f>"广西田东县"</f>
        <v>广西田东县</v>
      </c>
      <c r="F87" t="str">
        <f>"1994年07月"</f>
        <v>1994年07月</v>
      </c>
      <c r="G87" t="str">
        <f>"共青团员"</f>
        <v>共青团员</v>
      </c>
      <c r="H87" t="str">
        <f>"广西师范学院师园学院汉语言文学"</f>
        <v>广西师范学院师园学院汉语言文学</v>
      </c>
      <c r="I87" t="str">
        <f>"汉语言文学"</f>
        <v>汉语言文学</v>
      </c>
      <c r="J87" t="str">
        <f>"本科学士"</f>
        <v>本科学士</v>
      </c>
      <c r="K87" t="str">
        <f t="shared" si="22"/>
        <v>百色市右江区</v>
      </c>
      <c r="L87" t="str">
        <f>""</f>
        <v/>
      </c>
      <c r="M87" t="str">
        <f>""</f>
        <v/>
      </c>
      <c r="N87" t="str">
        <f>"2017.06.01"</f>
        <v>2017.06.01</v>
      </c>
      <c r="O87" t="str">
        <f t="shared" si="26"/>
        <v>是</v>
      </c>
      <c r="P87" t="str">
        <f>"2:小学"</f>
        <v>2:小学</v>
      </c>
      <c r="Q87" t="str">
        <f>"2017届毕业生填暂无"</f>
        <v>2017届毕业生填暂无</v>
      </c>
      <c r="R87" t="str">
        <f>"2017届毕业生填暂无"</f>
        <v>2017届毕业生填暂无</v>
      </c>
      <c r="S87" t="str">
        <f>"初中"</f>
        <v>初中</v>
      </c>
      <c r="T87" t="str">
        <f>"202:语文"</f>
        <v>202:语文</v>
      </c>
      <c r="U87" t="str">
        <f t="shared" si="23"/>
        <v>通过</v>
      </c>
    </row>
    <row r="88" spans="1:21" x14ac:dyDescent="0.15">
      <c r="A88" t="str">
        <f>"87"</f>
        <v>87</v>
      </c>
      <c r="B88" t="str">
        <f>"覃清容"</f>
        <v>覃清容</v>
      </c>
      <c r="C88" t="str">
        <f>"女        "</f>
        <v xml:space="preserve">女        </v>
      </c>
      <c r="D88" t="str">
        <f>"汉族"</f>
        <v>汉族</v>
      </c>
      <c r="E88" t="str">
        <f>"广西桂平"</f>
        <v>广西桂平</v>
      </c>
      <c r="F88" t="str">
        <f>"1990年10月"</f>
        <v>1990年10月</v>
      </c>
      <c r="G88" t="str">
        <f>"中共预备党员"</f>
        <v>中共预备党员</v>
      </c>
      <c r="H88" t="str">
        <f>"百色学院英语教育"</f>
        <v>百色学院英语教育</v>
      </c>
      <c r="I88" t="str">
        <f>"英语教育"</f>
        <v>英语教育</v>
      </c>
      <c r="J88" t="str">
        <f>"专科无学位"</f>
        <v>专科无学位</v>
      </c>
      <c r="K88" t="str">
        <f t="shared" si="22"/>
        <v>百色市右江区</v>
      </c>
      <c r="L88" t="str">
        <f>"广西桂平罗秀镇"</f>
        <v>广西桂平罗秀镇</v>
      </c>
      <c r="M88" t="str">
        <f>"2014.09.01"</f>
        <v>2014.09.01</v>
      </c>
      <c r="N88" t="str">
        <f>"2014.06.01"</f>
        <v>2014.06.01</v>
      </c>
      <c r="O88" t="str">
        <f t="shared" si="26"/>
        <v>是</v>
      </c>
      <c r="P88" t="str">
        <f>"3:初级中学"</f>
        <v>3:初级中学</v>
      </c>
      <c r="Q88" t="str">
        <f>"20144580032000118"</f>
        <v>20144580032000118</v>
      </c>
      <c r="R88" t="str">
        <f>"106091201406000229"</f>
        <v>106091201406000229</v>
      </c>
      <c r="S88" t="str">
        <f>"小学"</f>
        <v>小学</v>
      </c>
      <c r="T88" t="str">
        <f>"104:英语"</f>
        <v>104:英语</v>
      </c>
      <c r="U88" t="str">
        <f t="shared" si="23"/>
        <v>通过</v>
      </c>
    </row>
    <row r="89" spans="1:21" x14ac:dyDescent="0.15">
      <c r="A89" t="str">
        <f>"88"</f>
        <v>88</v>
      </c>
      <c r="B89" t="str">
        <f>"王煜涵"</f>
        <v>王煜涵</v>
      </c>
      <c r="C89" t="str">
        <f>"女        "</f>
        <v xml:space="preserve">女        </v>
      </c>
      <c r="D89" t="str">
        <f>"傣族"</f>
        <v>傣族</v>
      </c>
      <c r="E89" t="str">
        <f>"云南红河州弥勒市"</f>
        <v>云南红河州弥勒市</v>
      </c>
      <c r="F89" t="str">
        <f>"1992年08月"</f>
        <v>1992年08月</v>
      </c>
      <c r="G89" t="str">
        <f t="shared" ref="G89:G97" si="27">"共青团员"</f>
        <v>共青团员</v>
      </c>
      <c r="H89" t="str">
        <f>"广西师范大学漓江学院汉语言文学"</f>
        <v>广西师范大学漓江学院汉语言文学</v>
      </c>
      <c r="I89" t="str">
        <f>"汉语言文学"</f>
        <v>汉语言文学</v>
      </c>
      <c r="J89" t="str">
        <f t="shared" ref="J89:J97" si="28">"本科学士"</f>
        <v>本科学士</v>
      </c>
      <c r="K89" t="str">
        <f t="shared" si="22"/>
        <v>百色市右江区</v>
      </c>
      <c r="L89" t="str">
        <f>""</f>
        <v/>
      </c>
      <c r="M89" t="str">
        <f>""</f>
        <v/>
      </c>
      <c r="N89" t="str">
        <f>"2015.07.01"</f>
        <v>2015.07.01</v>
      </c>
      <c r="O89" t="str">
        <f t="shared" si="26"/>
        <v>是</v>
      </c>
      <c r="P89" t="str">
        <f>"4:高级中学"</f>
        <v>4:高级中学</v>
      </c>
      <c r="Q89" t="str">
        <f>"20154503042000820"</f>
        <v>20154503042000820</v>
      </c>
      <c r="R89" t="str">
        <f>"136411201505000065"</f>
        <v>136411201505000065</v>
      </c>
      <c r="S89" t="str">
        <f>"小学"</f>
        <v>小学</v>
      </c>
      <c r="T89" t="str">
        <f>"102:语文"</f>
        <v>102:语文</v>
      </c>
      <c r="U89" t="str">
        <f t="shared" si="23"/>
        <v>通过</v>
      </c>
    </row>
    <row r="90" spans="1:21" x14ac:dyDescent="0.15">
      <c r="A90" t="str">
        <f>"89"</f>
        <v>89</v>
      </c>
      <c r="B90" t="str">
        <f>"杨荣垣"</f>
        <v>杨荣垣</v>
      </c>
      <c r="C90" t="str">
        <f>"男        "</f>
        <v xml:space="preserve">男        </v>
      </c>
      <c r="D90" t="str">
        <f>"壮族"</f>
        <v>壮族</v>
      </c>
      <c r="E90" t="str">
        <f>"广西百色"</f>
        <v>广西百色</v>
      </c>
      <c r="F90" t="str">
        <f>"1994年10月"</f>
        <v>1994年10月</v>
      </c>
      <c r="G90" t="str">
        <f t="shared" si="27"/>
        <v>共青团员</v>
      </c>
      <c r="H90" t="str">
        <f>"广西师范大学应用化学"</f>
        <v>广西师范大学应用化学</v>
      </c>
      <c r="I90" t="str">
        <f>"应用化学"</f>
        <v>应用化学</v>
      </c>
      <c r="J90" t="str">
        <f t="shared" si="28"/>
        <v>本科学士</v>
      </c>
      <c r="K90" t="str">
        <f t="shared" si="22"/>
        <v>百色市右江区</v>
      </c>
      <c r="L90" t="str">
        <f>"广西省百色市右江区龙川镇世加村世加屯97号"</f>
        <v>广西省百色市右江区龙川镇世加村世加屯97号</v>
      </c>
      <c r="M90" t="str">
        <f>""</f>
        <v/>
      </c>
      <c r="N90" t="str">
        <f>"2017.06.01"</f>
        <v>2017.06.01</v>
      </c>
      <c r="O90" t="str">
        <f>"不是"</f>
        <v>不是</v>
      </c>
      <c r="P90" t="str">
        <f>"4:高级中学"</f>
        <v>4:高级中学</v>
      </c>
      <c r="Q90" t="str">
        <f>"2017届毕业生填暂无"</f>
        <v>2017届毕业生填暂无</v>
      </c>
      <c r="R90" t="str">
        <f>"2017届毕业生填暂无"</f>
        <v>2017届毕业生填暂无</v>
      </c>
      <c r="S90" t="str">
        <f>"初中"</f>
        <v>初中</v>
      </c>
      <c r="T90" t="str">
        <f>"211:化学"</f>
        <v>211:化学</v>
      </c>
      <c r="U90" t="str">
        <f t="shared" si="23"/>
        <v>通过</v>
      </c>
    </row>
    <row r="91" spans="1:21" x14ac:dyDescent="0.15">
      <c r="A91" t="str">
        <f>"90"</f>
        <v>90</v>
      </c>
      <c r="B91" t="str">
        <f>"赖凤娟"</f>
        <v>赖凤娟</v>
      </c>
      <c r="C91" t="str">
        <f>"女        "</f>
        <v xml:space="preserve">女        </v>
      </c>
      <c r="D91" t="str">
        <f>"汉族"</f>
        <v>汉族</v>
      </c>
      <c r="E91" t="str">
        <f>"广西贵港市港南区"</f>
        <v>广西贵港市港南区</v>
      </c>
      <c r="F91" t="str">
        <f>"1993年06月"</f>
        <v>1993年06月</v>
      </c>
      <c r="G91" t="str">
        <f t="shared" si="27"/>
        <v>共青团员</v>
      </c>
      <c r="H91" t="str">
        <f>"百色学院小学教育"</f>
        <v>百色学院小学教育</v>
      </c>
      <c r="I91" t="str">
        <f>"小学教育"</f>
        <v>小学教育</v>
      </c>
      <c r="J91" t="str">
        <f t="shared" si="28"/>
        <v>本科学士</v>
      </c>
      <c r="K91" t="str">
        <f t="shared" si="22"/>
        <v>百色市右江区</v>
      </c>
      <c r="L91" t="str">
        <f>"广西壮族自治区贵港市港南区东津镇务凤村赖屋屯14号"</f>
        <v>广西壮族自治区贵港市港南区东津镇务凤村赖屋屯14号</v>
      </c>
      <c r="M91" t="str">
        <f>""</f>
        <v/>
      </c>
      <c r="N91" t="str">
        <f>"2017.06.01"</f>
        <v>2017.06.01</v>
      </c>
      <c r="O91" t="str">
        <f>"是"</f>
        <v>是</v>
      </c>
      <c r="P91" t="str">
        <f>"2:小学"</f>
        <v>2:小学</v>
      </c>
      <c r="Q91" t="str">
        <f>"2015452029937"</f>
        <v>2015452029937</v>
      </c>
      <c r="R91" t="str">
        <f>"106091201705000917"</f>
        <v>106091201705000917</v>
      </c>
      <c r="S91" t="str">
        <f>"小学"</f>
        <v>小学</v>
      </c>
      <c r="T91" t="str">
        <f>"103:数学"</f>
        <v>103:数学</v>
      </c>
      <c r="U91" t="str">
        <f t="shared" si="23"/>
        <v>通过</v>
      </c>
    </row>
    <row r="92" spans="1:21" x14ac:dyDescent="0.15">
      <c r="A92" t="str">
        <f>"91"</f>
        <v>91</v>
      </c>
      <c r="B92" t="str">
        <f>"蓝雪湖"</f>
        <v>蓝雪湖</v>
      </c>
      <c r="C92" t="str">
        <f>"女        "</f>
        <v xml:space="preserve">女        </v>
      </c>
      <c r="D92" t="str">
        <f>"壮族"</f>
        <v>壮族</v>
      </c>
      <c r="E92" t="str">
        <f>"广西忻城"</f>
        <v>广西忻城</v>
      </c>
      <c r="F92" t="str">
        <f>"1994年09月"</f>
        <v>1994年09月</v>
      </c>
      <c r="G92" t="str">
        <f t="shared" si="27"/>
        <v>共青团员</v>
      </c>
      <c r="H92" t="str">
        <f>"百色学院人文教育"</f>
        <v>百色学院人文教育</v>
      </c>
      <c r="I92" t="str">
        <f>"人文教育"</f>
        <v>人文教育</v>
      </c>
      <c r="J92" t="str">
        <f t="shared" si="28"/>
        <v>本科学士</v>
      </c>
      <c r="K92" t="str">
        <f t="shared" si="22"/>
        <v>百色市右江区</v>
      </c>
      <c r="L92" t="str">
        <f>"广西来宾市忻城县北更乡古利村头零屯8号"</f>
        <v>广西来宾市忻城县北更乡古利村头零屯8号</v>
      </c>
      <c r="M92" t="str">
        <f>""</f>
        <v/>
      </c>
      <c r="N92" t="str">
        <f>"2017.06.01"</f>
        <v>2017.06.01</v>
      </c>
      <c r="O92" t="str">
        <f>"是"</f>
        <v>是</v>
      </c>
      <c r="P92" t="str">
        <f>"4:高级中学"</f>
        <v>4:高级中学</v>
      </c>
      <c r="Q92" t="str">
        <f>"暂无"</f>
        <v>暂无</v>
      </c>
      <c r="R92" t="str">
        <f>"暂无"</f>
        <v>暂无</v>
      </c>
      <c r="S92" t="str">
        <f t="shared" ref="S92:S97" si="29">"初中"</f>
        <v>初中</v>
      </c>
      <c r="T92" t="str">
        <f>"206:历史"</f>
        <v>206:历史</v>
      </c>
      <c r="U92" t="str">
        <f t="shared" si="23"/>
        <v>通过</v>
      </c>
    </row>
    <row r="93" spans="1:21" x14ac:dyDescent="0.15">
      <c r="A93" t="str">
        <f>"92"</f>
        <v>92</v>
      </c>
      <c r="B93" t="str">
        <f>"罗慧娴"</f>
        <v>罗慧娴</v>
      </c>
      <c r="C93" t="str">
        <f>"女        "</f>
        <v xml:space="preserve">女        </v>
      </c>
      <c r="D93" t="str">
        <f>"壮族"</f>
        <v>壮族</v>
      </c>
      <c r="E93" t="str">
        <f>"广西靖西"</f>
        <v>广西靖西</v>
      </c>
      <c r="F93" t="str">
        <f>"1990年03月"</f>
        <v>1990年03月</v>
      </c>
      <c r="G93" t="str">
        <f t="shared" si="27"/>
        <v>共青团员</v>
      </c>
      <c r="H93" t="str">
        <f>"河池学院思想政治教育"</f>
        <v>河池学院思想政治教育</v>
      </c>
      <c r="I93" t="str">
        <f>"思想政治教育"</f>
        <v>思想政治教育</v>
      </c>
      <c r="J93" t="str">
        <f t="shared" si="28"/>
        <v>本科学士</v>
      </c>
      <c r="K93" t="str">
        <f t="shared" si="22"/>
        <v>百色市右江区</v>
      </c>
      <c r="L93" t="str">
        <f>"百色市靖西岳圩镇岳圩街99号"</f>
        <v>百色市靖西岳圩镇岳圩街99号</v>
      </c>
      <c r="M93" t="str">
        <f>"2013.07.01"</f>
        <v>2013.07.01</v>
      </c>
      <c r="N93" t="str">
        <f>"2013.06.01"</f>
        <v>2013.06.01</v>
      </c>
      <c r="O93" t="str">
        <f>"是"</f>
        <v>是</v>
      </c>
      <c r="P93" t="str">
        <f>"4:高级中学"</f>
        <v>4:高级中学</v>
      </c>
      <c r="Q93" t="str">
        <f>"20134590042000867"</f>
        <v>20134590042000867</v>
      </c>
      <c r="R93" t="str">
        <f>"106051201305000248"</f>
        <v>106051201305000248</v>
      </c>
      <c r="S93" t="str">
        <f t="shared" si="29"/>
        <v>初中</v>
      </c>
      <c r="T93" t="str">
        <f>"299:政治"</f>
        <v>299:政治</v>
      </c>
      <c r="U93" t="str">
        <f t="shared" si="23"/>
        <v>通过</v>
      </c>
    </row>
    <row r="94" spans="1:21" x14ac:dyDescent="0.15">
      <c r="A94" t="str">
        <f>"93"</f>
        <v>93</v>
      </c>
      <c r="B94" t="str">
        <f>"黄广博"</f>
        <v>黄广博</v>
      </c>
      <c r="C94" t="str">
        <f>"男        "</f>
        <v xml:space="preserve">男        </v>
      </c>
      <c r="D94" t="str">
        <f>"壮族"</f>
        <v>壮族</v>
      </c>
      <c r="E94" t="str">
        <f>"广西德保"</f>
        <v>广西德保</v>
      </c>
      <c r="F94" t="str">
        <f>"1995年02月"</f>
        <v>1995年02月</v>
      </c>
      <c r="G94" t="str">
        <f t="shared" si="27"/>
        <v>共青团员</v>
      </c>
      <c r="H94" t="str">
        <f>"广西民族大学物理学"</f>
        <v>广西民族大学物理学</v>
      </c>
      <c r="I94" t="str">
        <f>"物理学"</f>
        <v>物理学</v>
      </c>
      <c r="J94" t="str">
        <f t="shared" si="28"/>
        <v>本科学士</v>
      </c>
      <c r="K94" t="str">
        <f t="shared" si="22"/>
        <v>百色市右江区</v>
      </c>
      <c r="L94" t="str">
        <f>"广西百色市德保县足荣镇泗营村坡尖屯42号"</f>
        <v>广西百色市德保县足荣镇泗营村坡尖屯42号</v>
      </c>
      <c r="M94" t="str">
        <f>""</f>
        <v/>
      </c>
      <c r="N94" t="str">
        <f>"2017.07.01"</f>
        <v>2017.07.01</v>
      </c>
      <c r="O94" t="str">
        <f>"是"</f>
        <v>是</v>
      </c>
      <c r="P94" t="str">
        <f>"0:暂未取得"</f>
        <v>0:暂未取得</v>
      </c>
      <c r="Q94" t="str">
        <f>"暂无"</f>
        <v>暂无</v>
      </c>
      <c r="R94" t="str">
        <f>"暂无"</f>
        <v>暂无</v>
      </c>
      <c r="S94" t="str">
        <f t="shared" si="29"/>
        <v>初中</v>
      </c>
      <c r="T94" t="str">
        <f>"210:物理"</f>
        <v>210:物理</v>
      </c>
      <c r="U94" t="str">
        <f t="shared" si="23"/>
        <v>通过</v>
      </c>
    </row>
    <row r="95" spans="1:21" x14ac:dyDescent="0.15">
      <c r="A95" t="str">
        <f>"94"</f>
        <v>94</v>
      </c>
      <c r="B95" t="str">
        <f>"朱洪辉"</f>
        <v>朱洪辉</v>
      </c>
      <c r="C95" t="str">
        <f>"男        "</f>
        <v xml:space="preserve">男        </v>
      </c>
      <c r="D95" t="str">
        <f>"汉族"</f>
        <v>汉族</v>
      </c>
      <c r="E95" t="str">
        <f>"广西博白县"</f>
        <v>广西博白县</v>
      </c>
      <c r="F95" t="str">
        <f>"1991年09月"</f>
        <v>1991年09月</v>
      </c>
      <c r="G95" t="str">
        <f t="shared" si="27"/>
        <v>共青团员</v>
      </c>
      <c r="H95" t="str">
        <f>"百色学院汉语言文学"</f>
        <v>百色学院汉语言文学</v>
      </c>
      <c r="I95" t="str">
        <f>"汉语言文学"</f>
        <v>汉语言文学</v>
      </c>
      <c r="J95" t="str">
        <f t="shared" si="28"/>
        <v>本科学士</v>
      </c>
      <c r="K95" t="str">
        <f t="shared" si="22"/>
        <v>百色市右江区</v>
      </c>
      <c r="L95" t="str">
        <f>"广西博白县东平镇枫木村利竹排队010号"</f>
        <v>广西博白县东平镇枫木村利竹排队010号</v>
      </c>
      <c r="M95" t="str">
        <f>"2017.05.01"</f>
        <v>2017.05.01</v>
      </c>
      <c r="N95" t="str">
        <f>"2017.07.01"</f>
        <v>2017.07.01</v>
      </c>
      <c r="O95" t="str">
        <f>"不是"</f>
        <v>不是</v>
      </c>
      <c r="P95" t="str">
        <f>"4:高级中学"</f>
        <v>4:高级中学</v>
      </c>
      <c r="Q95" t="str">
        <f>"2017届毕业生填暂无"</f>
        <v>2017届毕业生填暂无</v>
      </c>
      <c r="R95" t="str">
        <f>"2017届毕业生填暂无"</f>
        <v>2017届毕业生填暂无</v>
      </c>
      <c r="S95" t="str">
        <f t="shared" si="29"/>
        <v>初中</v>
      </c>
      <c r="T95" t="str">
        <f>"202:语文"</f>
        <v>202:语文</v>
      </c>
      <c r="U95" t="str">
        <f t="shared" si="23"/>
        <v>通过</v>
      </c>
    </row>
    <row r="96" spans="1:21" x14ac:dyDescent="0.15">
      <c r="A96" t="str">
        <f>"95"</f>
        <v>95</v>
      </c>
      <c r="B96" t="str">
        <f>"黄静琳"</f>
        <v>黄静琳</v>
      </c>
      <c r="C96" t="str">
        <f>"女        "</f>
        <v xml:space="preserve">女        </v>
      </c>
      <c r="D96" t="str">
        <f>"壮族"</f>
        <v>壮族</v>
      </c>
      <c r="E96" t="str">
        <f>"广西凌云县"</f>
        <v>广西凌云县</v>
      </c>
      <c r="F96" t="str">
        <f>"1987年11月"</f>
        <v>1987年11月</v>
      </c>
      <c r="G96" t="str">
        <f t="shared" si="27"/>
        <v>共青团员</v>
      </c>
      <c r="H96" t="str">
        <f>"玉林师范学院化学"</f>
        <v>玉林师范学院化学</v>
      </c>
      <c r="I96" t="str">
        <f>"化学"</f>
        <v>化学</v>
      </c>
      <c r="J96" t="str">
        <f t="shared" si="28"/>
        <v>本科学士</v>
      </c>
      <c r="K96" t="str">
        <f t="shared" si="22"/>
        <v>百色市右江区</v>
      </c>
      <c r="L96" t="str">
        <f>"广西凌云县沙里瑶族乡浪伏村三组"</f>
        <v>广西凌云县沙里瑶族乡浪伏村三组</v>
      </c>
      <c r="M96" t="str">
        <f>"2014.09.01"</f>
        <v>2014.09.01</v>
      </c>
      <c r="N96" t="str">
        <f>"2014.06.01"</f>
        <v>2014.06.01</v>
      </c>
      <c r="O96" t="str">
        <f t="shared" ref="O96:O107" si="30">"是"</f>
        <v>是</v>
      </c>
      <c r="P96" t="str">
        <f>"4:高级中学"</f>
        <v>4:高级中学</v>
      </c>
      <c r="Q96" t="str">
        <f>"20144580042000626"</f>
        <v>20144580042000626</v>
      </c>
      <c r="R96" t="str">
        <f>"106061201405001967"</f>
        <v>106061201405001967</v>
      </c>
      <c r="S96" t="str">
        <f t="shared" si="29"/>
        <v>初中</v>
      </c>
      <c r="T96" t="str">
        <f>"211:化学"</f>
        <v>211:化学</v>
      </c>
      <c r="U96" t="str">
        <f t="shared" si="23"/>
        <v>通过</v>
      </c>
    </row>
    <row r="97" spans="1:21" x14ac:dyDescent="0.15">
      <c r="A97" t="str">
        <f>"96"</f>
        <v>96</v>
      </c>
      <c r="B97" t="str">
        <f>"覃宏肃"</f>
        <v>覃宏肃</v>
      </c>
      <c r="C97" t="str">
        <f>"男        "</f>
        <v xml:space="preserve">男        </v>
      </c>
      <c r="D97" t="str">
        <f>"壮族"</f>
        <v>壮族</v>
      </c>
      <c r="E97" t="str">
        <f>"广西南宁"</f>
        <v>广西南宁</v>
      </c>
      <c r="F97" t="str">
        <f>"1993年09月"</f>
        <v>1993年09月</v>
      </c>
      <c r="G97" t="str">
        <f t="shared" si="27"/>
        <v>共青团员</v>
      </c>
      <c r="H97" t="str">
        <f>"百色学院体育教育"</f>
        <v>百色学院体育教育</v>
      </c>
      <c r="I97" t="str">
        <f>"体育教育"</f>
        <v>体育教育</v>
      </c>
      <c r="J97" t="str">
        <f t="shared" si="28"/>
        <v>本科学士</v>
      </c>
      <c r="K97" t="str">
        <f t="shared" si="22"/>
        <v>百色市右江区</v>
      </c>
      <c r="L97" t="str">
        <f>"广西南宁市马山县白山镇兴华村"</f>
        <v>广西南宁市马山县白山镇兴华村</v>
      </c>
      <c r="M97" t="str">
        <f>""</f>
        <v/>
      </c>
      <c r="N97" t="str">
        <f>"2017.07.01"</f>
        <v>2017.07.01</v>
      </c>
      <c r="O97" t="str">
        <f t="shared" si="30"/>
        <v>是</v>
      </c>
      <c r="P97" t="str">
        <f>"4:高级中学"</f>
        <v>4:高级中学</v>
      </c>
      <c r="Q97" t="str">
        <f>"暂无"</f>
        <v>暂无</v>
      </c>
      <c r="R97" t="str">
        <f>"暂无"</f>
        <v>暂无</v>
      </c>
      <c r="S97" t="str">
        <f t="shared" si="29"/>
        <v>初中</v>
      </c>
      <c r="T97" t="str">
        <f>"212:体育"</f>
        <v>212:体育</v>
      </c>
      <c r="U97" t="str">
        <f t="shared" si="23"/>
        <v>通过</v>
      </c>
    </row>
    <row r="98" spans="1:21" x14ac:dyDescent="0.15">
      <c r="A98" t="str">
        <f>"97"</f>
        <v>97</v>
      </c>
      <c r="B98" t="str">
        <f>"张秀英"</f>
        <v>张秀英</v>
      </c>
      <c r="C98" t="str">
        <f>"女        "</f>
        <v xml:space="preserve">女        </v>
      </c>
      <c r="D98" t="str">
        <f>"汉族"</f>
        <v>汉族</v>
      </c>
      <c r="E98" t="str">
        <f>"广西阳朔"</f>
        <v>广西阳朔</v>
      </c>
      <c r="F98" t="str">
        <f>"1993年04月"</f>
        <v>1993年04月</v>
      </c>
      <c r="G98" t="str">
        <f>"中共党员"</f>
        <v>中共党员</v>
      </c>
      <c r="H98" t="str">
        <f>"百色学院学前教育"</f>
        <v>百色学院学前教育</v>
      </c>
      <c r="I98" t="str">
        <f>"学前教育"</f>
        <v>学前教育</v>
      </c>
      <c r="J98" t="str">
        <f>"专科学士"</f>
        <v>专科学士</v>
      </c>
      <c r="K98" t="str">
        <f t="shared" si="22"/>
        <v>百色市右江区</v>
      </c>
      <c r="L98" t="str">
        <f>"广西百色市右江区向阳路13号"</f>
        <v>广西百色市右江区向阳路13号</v>
      </c>
      <c r="M98" t="str">
        <f>"2014.03.01"</f>
        <v>2014.03.01</v>
      </c>
      <c r="N98" t="str">
        <f>"2014.06.01"</f>
        <v>2014.06.01</v>
      </c>
      <c r="O98" t="str">
        <f t="shared" si="30"/>
        <v>是</v>
      </c>
      <c r="P98" t="str">
        <f>"2:小学"</f>
        <v>2:小学</v>
      </c>
      <c r="Q98" t="str">
        <f>"20154503022003594"</f>
        <v>20154503022003594</v>
      </c>
      <c r="R98" t="str">
        <f>"106091201406000541"</f>
        <v>106091201406000541</v>
      </c>
      <c r="S98" t="str">
        <f>"小学"</f>
        <v>小学</v>
      </c>
      <c r="T98" t="str">
        <f>"102:语文"</f>
        <v>102:语文</v>
      </c>
      <c r="U98" t="str">
        <f t="shared" si="23"/>
        <v>通过</v>
      </c>
    </row>
    <row r="99" spans="1:21" x14ac:dyDescent="0.15">
      <c r="A99" t="str">
        <f>"98"</f>
        <v>98</v>
      </c>
      <c r="B99" t="str">
        <f>"梁凯鹏"</f>
        <v>梁凯鹏</v>
      </c>
      <c r="C99" t="str">
        <f>"男        "</f>
        <v xml:space="preserve">男        </v>
      </c>
      <c r="D99" t="str">
        <f>"壮族"</f>
        <v>壮族</v>
      </c>
      <c r="E99" t="str">
        <f>"广西那坡县"</f>
        <v>广西那坡县</v>
      </c>
      <c r="F99" t="str">
        <f>"1995年06月"</f>
        <v>1995年06月</v>
      </c>
      <c r="G99" t="str">
        <f t="shared" ref="G99:G105" si="31">"共青团员"</f>
        <v>共青团员</v>
      </c>
      <c r="H99" t="str">
        <f>"百色学院汉语"</f>
        <v>百色学院汉语</v>
      </c>
      <c r="I99" t="str">
        <f>"汉语"</f>
        <v>汉语</v>
      </c>
      <c r="J99" t="str">
        <f>"专科无学位"</f>
        <v>专科无学位</v>
      </c>
      <c r="K99" t="str">
        <f t="shared" si="22"/>
        <v>百色市右江区</v>
      </c>
      <c r="L99" t="str">
        <f>"广西百色市那坡县百南乡上盖村果力屯"</f>
        <v>广西百色市那坡县百南乡上盖村果力屯</v>
      </c>
      <c r="M99" t="str">
        <f>"2016.09.01"</f>
        <v>2016.09.01</v>
      </c>
      <c r="N99" t="str">
        <f>"2017.06.01"</f>
        <v>2017.06.01</v>
      </c>
      <c r="O99" t="str">
        <f t="shared" si="30"/>
        <v>是</v>
      </c>
      <c r="P99" t="str">
        <f>"0:暂未取得"</f>
        <v>0:暂未取得</v>
      </c>
      <c r="Q99" t="str">
        <f>"无"</f>
        <v>无</v>
      </c>
      <c r="R99" t="str">
        <f>"无"</f>
        <v>无</v>
      </c>
      <c r="S99" t="str">
        <f>"小学"</f>
        <v>小学</v>
      </c>
      <c r="T99" t="str">
        <f>"102:语文"</f>
        <v>102:语文</v>
      </c>
      <c r="U99" t="str">
        <f t="shared" si="23"/>
        <v>通过</v>
      </c>
    </row>
    <row r="100" spans="1:21" x14ac:dyDescent="0.15">
      <c r="A100" t="str">
        <f>"99"</f>
        <v>99</v>
      </c>
      <c r="B100" t="str">
        <f>"黄瑛桂"</f>
        <v>黄瑛桂</v>
      </c>
      <c r="C100" t="str">
        <f>"女        "</f>
        <v xml:space="preserve">女        </v>
      </c>
      <c r="D100" t="str">
        <f>"壮族"</f>
        <v>壮族</v>
      </c>
      <c r="E100" t="str">
        <f>"广西田阳县"</f>
        <v>广西田阳县</v>
      </c>
      <c r="F100" t="str">
        <f>"1992年05月"</f>
        <v>1992年05月</v>
      </c>
      <c r="G100" t="str">
        <f t="shared" si="31"/>
        <v>共青团员</v>
      </c>
      <c r="H100" t="str">
        <f>"福建师范大学汉语言文学"</f>
        <v>福建师范大学汉语言文学</v>
      </c>
      <c r="I100" t="str">
        <f>"汉语言文学"</f>
        <v>汉语言文学</v>
      </c>
      <c r="J100" t="str">
        <f>"本科学士"</f>
        <v>本科学士</v>
      </c>
      <c r="K100" t="str">
        <f t="shared" si="22"/>
        <v>百色市右江区</v>
      </c>
      <c r="L100" t="str">
        <f>"广西田阳县头塘镇百沙村东沙屯175号"</f>
        <v>广西田阳县头塘镇百沙村东沙屯175号</v>
      </c>
      <c r="M100" t="str">
        <f>""</f>
        <v/>
      </c>
      <c r="N100" t="str">
        <f>"2017.07.01"</f>
        <v>2017.07.01</v>
      </c>
      <c r="O100" t="str">
        <f t="shared" si="30"/>
        <v>是</v>
      </c>
      <c r="P100" t="str">
        <f>"4:高级中学"</f>
        <v>4:高级中学</v>
      </c>
      <c r="Q100" t="str">
        <f>"20173510042000695"</f>
        <v>20173510042000695</v>
      </c>
      <c r="R100" t="str">
        <f>"103941201705004952"</f>
        <v>103941201705004952</v>
      </c>
      <c r="S100" t="str">
        <f>"初中"</f>
        <v>初中</v>
      </c>
      <c r="T100" t="str">
        <f>"202:语文"</f>
        <v>202:语文</v>
      </c>
      <c r="U100" t="str">
        <f t="shared" si="23"/>
        <v>通过</v>
      </c>
    </row>
    <row r="101" spans="1:21" x14ac:dyDescent="0.15">
      <c r="A101" t="str">
        <f>"100"</f>
        <v>100</v>
      </c>
      <c r="B101" t="str">
        <f>"李迎"</f>
        <v>李迎</v>
      </c>
      <c r="C101" t="str">
        <f>"女        "</f>
        <v xml:space="preserve">女        </v>
      </c>
      <c r="D101" t="str">
        <f>"瑶族"</f>
        <v>瑶族</v>
      </c>
      <c r="E101" t="str">
        <f>"广西百色"</f>
        <v>广西百色</v>
      </c>
      <c r="F101" t="str">
        <f>"1994年01月"</f>
        <v>1994年01月</v>
      </c>
      <c r="G101" t="str">
        <f t="shared" si="31"/>
        <v>共青团员</v>
      </c>
      <c r="H101" t="str">
        <f>"梧州学院学前教育"</f>
        <v>梧州学院学前教育</v>
      </c>
      <c r="I101" t="str">
        <f>"学前教育"</f>
        <v>学前教育</v>
      </c>
      <c r="J101" t="str">
        <f>"专科无学位"</f>
        <v>专科无学位</v>
      </c>
      <c r="K101" t="str">
        <f t="shared" si="22"/>
        <v>百色市右江区</v>
      </c>
      <c r="L101" t="str">
        <f>"广西百色市那坡县城厢镇者兰村那鸡屯"</f>
        <v>广西百色市那坡县城厢镇者兰村那鸡屯</v>
      </c>
      <c r="M101" t="str">
        <f>"2017.02.01"</f>
        <v>2017.02.01</v>
      </c>
      <c r="N101" t="str">
        <f>"2017.06.01"</f>
        <v>2017.06.01</v>
      </c>
      <c r="O101" t="str">
        <f t="shared" si="30"/>
        <v>是</v>
      </c>
      <c r="P101" t="str">
        <f>"1:幼儿园"</f>
        <v>1:幼儿园</v>
      </c>
      <c r="Q101" t="str">
        <f>"暂无"</f>
        <v>暂无</v>
      </c>
      <c r="R101" t="str">
        <f>"暂无"</f>
        <v>暂无</v>
      </c>
      <c r="S101" t="str">
        <f>"小学"</f>
        <v>小学</v>
      </c>
      <c r="T101" t="str">
        <f>"103:数学"</f>
        <v>103:数学</v>
      </c>
      <c r="U101" t="str">
        <f t="shared" si="23"/>
        <v>通过</v>
      </c>
    </row>
    <row r="102" spans="1:21" x14ac:dyDescent="0.15">
      <c r="A102" t="str">
        <f>"101"</f>
        <v>101</v>
      </c>
      <c r="B102" t="str">
        <f>"杨远芳"</f>
        <v>杨远芳</v>
      </c>
      <c r="C102" t="str">
        <f>"女        "</f>
        <v xml:space="preserve">女        </v>
      </c>
      <c r="D102" t="str">
        <f>"汉族"</f>
        <v>汉族</v>
      </c>
      <c r="E102" t="str">
        <f>"广西河池市天峨县"</f>
        <v>广西河池市天峨县</v>
      </c>
      <c r="F102" t="str">
        <f>"1993年10月"</f>
        <v>1993年10月</v>
      </c>
      <c r="G102" t="str">
        <f t="shared" si="31"/>
        <v>共青团员</v>
      </c>
      <c r="H102" t="str">
        <f>"百色学院汉语"</f>
        <v>百色学院汉语</v>
      </c>
      <c r="I102" t="str">
        <f>"汉语"</f>
        <v>汉语</v>
      </c>
      <c r="J102" t="str">
        <f>"专科无学位"</f>
        <v>专科无学位</v>
      </c>
      <c r="K102" t="str">
        <f t="shared" si="22"/>
        <v>百色市右江区</v>
      </c>
      <c r="L102" t="str">
        <f>"广西河池市天峨县坡结乡尧山村九洞屯22号"</f>
        <v>广西河池市天峨县坡结乡尧山村九洞屯22号</v>
      </c>
      <c r="M102" t="str">
        <f>""</f>
        <v/>
      </c>
      <c r="N102" t="str">
        <f>"2017.06.01"</f>
        <v>2017.06.01</v>
      </c>
      <c r="O102" t="str">
        <f t="shared" si="30"/>
        <v>是</v>
      </c>
      <c r="P102" t="str">
        <f>"0:暂未取得"</f>
        <v>0:暂未取得</v>
      </c>
      <c r="Q102" t="str">
        <f>"暂无"</f>
        <v>暂无</v>
      </c>
      <c r="R102" t="str">
        <f>"106091201706000785"</f>
        <v>106091201706000785</v>
      </c>
      <c r="S102" t="str">
        <f>"小学"</f>
        <v>小学</v>
      </c>
      <c r="T102" t="str">
        <f>"102:语文"</f>
        <v>102:语文</v>
      </c>
      <c r="U102" t="str">
        <f t="shared" si="23"/>
        <v>通过</v>
      </c>
    </row>
    <row r="103" spans="1:21" x14ac:dyDescent="0.15">
      <c r="A103" t="str">
        <f>"102"</f>
        <v>102</v>
      </c>
      <c r="B103" t="str">
        <f>"莫山"</f>
        <v>莫山</v>
      </c>
      <c r="C103" t="str">
        <f>"男        "</f>
        <v xml:space="preserve">男        </v>
      </c>
      <c r="D103" t="str">
        <f>"壮族"</f>
        <v>壮族</v>
      </c>
      <c r="E103" t="str">
        <f>"广西兴业县"</f>
        <v>广西兴业县</v>
      </c>
      <c r="F103" t="str">
        <f>"1994年07月"</f>
        <v>1994年07月</v>
      </c>
      <c r="G103" t="str">
        <f t="shared" si="31"/>
        <v>共青团员</v>
      </c>
      <c r="H103" t="str">
        <f>"广西民族师范学院汉语言文学师范教育"</f>
        <v>广西民族师范学院汉语言文学师范教育</v>
      </c>
      <c r="I103" t="str">
        <f>"汉语言文学师范教育"</f>
        <v>汉语言文学师范教育</v>
      </c>
      <c r="J103" t="str">
        <f t="shared" ref="J103:J109" si="32">"本科学士"</f>
        <v>本科学士</v>
      </c>
      <c r="K103" t="str">
        <f t="shared" si="22"/>
        <v>百色市右江区</v>
      </c>
      <c r="L103" t="str">
        <f>"广西百色市右江区凤凰巷凤凰花园三期a区"</f>
        <v>广西百色市右江区凤凰巷凤凰花园三期a区</v>
      </c>
      <c r="M103" t="str">
        <f>"2017.05.01"</f>
        <v>2017.05.01</v>
      </c>
      <c r="N103" t="str">
        <f>"2017.07.01"</f>
        <v>2017.07.01</v>
      </c>
      <c r="O103" t="str">
        <f t="shared" si="30"/>
        <v>是</v>
      </c>
      <c r="P103" t="str">
        <f>"0:暂未取得"</f>
        <v>0:暂未取得</v>
      </c>
      <c r="Q103" t="str">
        <f>"暂无"</f>
        <v>暂无</v>
      </c>
      <c r="R103" t="str">
        <f>"暂无"</f>
        <v>暂无</v>
      </c>
      <c r="S103" t="str">
        <f>"初中"</f>
        <v>初中</v>
      </c>
      <c r="T103" t="str">
        <f>"202:语文"</f>
        <v>202:语文</v>
      </c>
      <c r="U103" t="str">
        <f t="shared" si="23"/>
        <v>通过</v>
      </c>
    </row>
    <row r="104" spans="1:21" x14ac:dyDescent="0.15">
      <c r="A104" t="str">
        <f>"103"</f>
        <v>103</v>
      </c>
      <c r="B104" t="str">
        <f>"李宁"</f>
        <v>李宁</v>
      </c>
      <c r="C104" t="str">
        <f>"男        "</f>
        <v xml:space="preserve">男        </v>
      </c>
      <c r="D104" t="str">
        <f>"壮族"</f>
        <v>壮族</v>
      </c>
      <c r="E104" t="str">
        <f>"广西巴马"</f>
        <v>广西巴马</v>
      </c>
      <c r="F104" t="str">
        <f>"1988年05月"</f>
        <v>1988年05月</v>
      </c>
      <c r="G104" t="str">
        <f t="shared" si="31"/>
        <v>共青团员</v>
      </c>
      <c r="H104" t="str">
        <f>"百色学院体育教育"</f>
        <v>百色学院体育教育</v>
      </c>
      <c r="I104" t="str">
        <f>"体育教育"</f>
        <v>体育教育</v>
      </c>
      <c r="J104" t="str">
        <f t="shared" si="32"/>
        <v>本科学士</v>
      </c>
      <c r="K104" t="str">
        <f t="shared" si="22"/>
        <v>百色市右江区</v>
      </c>
      <c r="L104" t="str">
        <f>"广西巴马县燕洞乡龙威村能瓦屯"</f>
        <v>广西巴马县燕洞乡龙威村能瓦屯</v>
      </c>
      <c r="M104" t="str">
        <f>""</f>
        <v/>
      </c>
      <c r="N104" t="str">
        <f>"2011.07.01"</f>
        <v>2011.07.01</v>
      </c>
      <c r="O104" t="str">
        <f t="shared" si="30"/>
        <v>是</v>
      </c>
      <c r="P104" t="str">
        <f>"4:高级中学"</f>
        <v>4:高级中学</v>
      </c>
      <c r="Q104" t="str">
        <f>"20114580041000908"</f>
        <v>20114580041000908</v>
      </c>
      <c r="R104" t="str">
        <f>"106091201105000132"</f>
        <v>106091201105000132</v>
      </c>
      <c r="S104" t="str">
        <f>"初中"</f>
        <v>初中</v>
      </c>
      <c r="T104" t="str">
        <f>"212:体育"</f>
        <v>212:体育</v>
      </c>
      <c r="U104" t="str">
        <f t="shared" si="23"/>
        <v>通过</v>
      </c>
    </row>
    <row r="105" spans="1:21" x14ac:dyDescent="0.15">
      <c r="A105" t="str">
        <f>"104"</f>
        <v>104</v>
      </c>
      <c r="B105" t="str">
        <f>"李修成"</f>
        <v>李修成</v>
      </c>
      <c r="C105" t="str">
        <f>"男        "</f>
        <v xml:space="preserve">男        </v>
      </c>
      <c r="D105" t="str">
        <f>"壮族"</f>
        <v>壮族</v>
      </c>
      <c r="E105" t="str">
        <f>"广西那坡"</f>
        <v>广西那坡</v>
      </c>
      <c r="F105" t="str">
        <f>"1993年09月"</f>
        <v>1993年09月</v>
      </c>
      <c r="G105" t="str">
        <f t="shared" si="31"/>
        <v>共青团员</v>
      </c>
      <c r="H105" t="str">
        <f>"广西民族师范学院体育教育"</f>
        <v>广西民族师范学院体育教育</v>
      </c>
      <c r="I105" t="str">
        <f>"体育教育"</f>
        <v>体育教育</v>
      </c>
      <c r="J105" t="str">
        <f t="shared" si="32"/>
        <v>本科学士</v>
      </c>
      <c r="K105" t="str">
        <f t="shared" si="22"/>
        <v>百色市右江区</v>
      </c>
      <c r="L105" t="str">
        <f>"广西那坡县城厢镇龙华村吞力屯21号"</f>
        <v>广西那坡县城厢镇龙华村吞力屯21号</v>
      </c>
      <c r="M105" t="str">
        <f>""</f>
        <v/>
      </c>
      <c r="N105" t="str">
        <f>"2017.06.01"</f>
        <v>2017.06.01</v>
      </c>
      <c r="O105" t="str">
        <f t="shared" si="30"/>
        <v>是</v>
      </c>
      <c r="P105" t="str">
        <f>"0:暂未取得"</f>
        <v>0:暂未取得</v>
      </c>
      <c r="Q105" t="str">
        <f>"2017届毕业生填暂无"</f>
        <v>2017届毕业生填暂无</v>
      </c>
      <c r="R105" t="str">
        <f>"2017届毕业生填暂无"</f>
        <v>2017届毕业生填暂无</v>
      </c>
      <c r="S105" t="str">
        <f>"初中"</f>
        <v>初中</v>
      </c>
      <c r="T105" t="str">
        <f>"212:体育"</f>
        <v>212:体育</v>
      </c>
      <c r="U105" t="str">
        <f t="shared" si="23"/>
        <v>通过</v>
      </c>
    </row>
    <row r="106" spans="1:21" x14ac:dyDescent="0.15">
      <c r="A106" t="str">
        <f>"105"</f>
        <v>105</v>
      </c>
      <c r="B106" t="str">
        <f>"许小妹"</f>
        <v>许小妹</v>
      </c>
      <c r="C106" t="str">
        <f>"女        "</f>
        <v xml:space="preserve">女        </v>
      </c>
      <c r="D106" t="str">
        <f>"壮族"</f>
        <v>壮族</v>
      </c>
      <c r="E106" t="str">
        <f>"广西靖西"</f>
        <v>广西靖西</v>
      </c>
      <c r="F106" t="str">
        <f>"1994年01月"</f>
        <v>1994年01月</v>
      </c>
      <c r="G106" t="str">
        <f>"中共党员"</f>
        <v>中共党员</v>
      </c>
      <c r="H106" t="str">
        <f>"玉林师范学院物理学"</f>
        <v>玉林师范学院物理学</v>
      </c>
      <c r="I106" t="str">
        <f>"物理学"</f>
        <v>物理学</v>
      </c>
      <c r="J106" t="str">
        <f t="shared" si="32"/>
        <v>本科学士</v>
      </c>
      <c r="K106" t="str">
        <f t="shared" si="22"/>
        <v>百色市右江区</v>
      </c>
      <c r="L106" t="str">
        <f>"广西百色市靖西市南坡乡老桑村"</f>
        <v>广西百色市靖西市南坡乡老桑村</v>
      </c>
      <c r="M106" t="str">
        <f>""</f>
        <v/>
      </c>
      <c r="N106" t="str">
        <f>"2017.06.01"</f>
        <v>2017.06.01</v>
      </c>
      <c r="O106" t="str">
        <f t="shared" si="30"/>
        <v>是</v>
      </c>
      <c r="P106" t="str">
        <f>"4:高级中学"</f>
        <v>4:高级中学</v>
      </c>
      <c r="Q106" t="str">
        <f>"无"</f>
        <v>无</v>
      </c>
      <c r="R106" t="str">
        <f>"无"</f>
        <v>无</v>
      </c>
      <c r="S106" t="str">
        <f>"初中"</f>
        <v>初中</v>
      </c>
      <c r="T106" t="str">
        <f>"210:物理"</f>
        <v>210:物理</v>
      </c>
      <c r="U106" t="str">
        <f t="shared" si="23"/>
        <v>通过</v>
      </c>
    </row>
    <row r="107" spans="1:21" x14ac:dyDescent="0.15">
      <c r="A107" t="str">
        <f>"106"</f>
        <v>106</v>
      </c>
      <c r="B107" t="str">
        <f>"黄慧巧"</f>
        <v>黄慧巧</v>
      </c>
      <c r="C107" t="str">
        <f>"女        "</f>
        <v xml:space="preserve">女        </v>
      </c>
      <c r="D107" t="str">
        <f>"壮族"</f>
        <v>壮族</v>
      </c>
      <c r="E107" t="str">
        <f>"广西百色"</f>
        <v>广西百色</v>
      </c>
      <c r="F107" t="str">
        <f>"1994年06月"</f>
        <v>1994年06月</v>
      </c>
      <c r="G107" t="str">
        <f>"共青团员"</f>
        <v>共青团员</v>
      </c>
      <c r="H107" t="str">
        <f>"广西师范学院师园学院汉语言文学"</f>
        <v>广西师范学院师园学院汉语言文学</v>
      </c>
      <c r="I107" t="str">
        <f>"汉语言文学"</f>
        <v>汉语言文学</v>
      </c>
      <c r="J107" t="str">
        <f t="shared" si="32"/>
        <v>本科学士</v>
      </c>
      <c r="K107" t="str">
        <f t="shared" si="22"/>
        <v>百色市右江区</v>
      </c>
      <c r="L107" t="str">
        <f>"广西省百色市右江区阳圩镇塘里村塘香屯"</f>
        <v>广西省百色市右江区阳圩镇塘里村塘香屯</v>
      </c>
      <c r="M107" t="str">
        <f>"2017.03.01"</f>
        <v>2017.03.01</v>
      </c>
      <c r="N107" t="str">
        <f>"2017.07.01"</f>
        <v>2017.07.01</v>
      </c>
      <c r="O107" t="str">
        <f t="shared" si="30"/>
        <v>是</v>
      </c>
      <c r="P107" t="str">
        <f>"2:小学"</f>
        <v>2:小学</v>
      </c>
      <c r="Q107" t="str">
        <f>"2016452032839"</f>
        <v>2016452032839</v>
      </c>
      <c r="R107" t="str">
        <f>"暂无"</f>
        <v>暂无</v>
      </c>
      <c r="S107" t="str">
        <f>"小学"</f>
        <v>小学</v>
      </c>
      <c r="T107" t="str">
        <f>"102:语文"</f>
        <v>102:语文</v>
      </c>
      <c r="U107" t="str">
        <f t="shared" si="23"/>
        <v>通过</v>
      </c>
    </row>
    <row r="108" spans="1:21" x14ac:dyDescent="0.15">
      <c r="A108" t="str">
        <f>"107"</f>
        <v>107</v>
      </c>
      <c r="B108" t="str">
        <f>"陈忠艳"</f>
        <v>陈忠艳</v>
      </c>
      <c r="C108" t="str">
        <f>"女        "</f>
        <v xml:space="preserve">女        </v>
      </c>
      <c r="D108" t="str">
        <f>"汉族"</f>
        <v>汉族</v>
      </c>
      <c r="E108" t="str">
        <f>"云南"</f>
        <v>云南</v>
      </c>
      <c r="F108" t="str">
        <f>"1993年10月"</f>
        <v>1993年10月</v>
      </c>
      <c r="G108" t="str">
        <f>"中共党员"</f>
        <v>中共党员</v>
      </c>
      <c r="H108" t="str">
        <f>"昆明学院旅游管理"</f>
        <v>昆明学院旅游管理</v>
      </c>
      <c r="I108" t="str">
        <f>"旅游管理"</f>
        <v>旅游管理</v>
      </c>
      <c r="J108" t="str">
        <f t="shared" si="32"/>
        <v>本科学士</v>
      </c>
      <c r="K108" t="str">
        <f t="shared" si="22"/>
        <v>百色市右江区</v>
      </c>
      <c r="L108" t="str">
        <f>"云南省文山壮族苗族自治州广南县八宝镇燃料路"</f>
        <v>云南省文山壮族苗族自治州广南县八宝镇燃料路</v>
      </c>
      <c r="M108" t="str">
        <f>""</f>
        <v/>
      </c>
      <c r="N108" t="str">
        <f>"2016.06.01"</f>
        <v>2016.06.01</v>
      </c>
      <c r="O108" t="str">
        <f>"不是"</f>
        <v>不是</v>
      </c>
      <c r="P108" t="str">
        <f>"4:高级中学"</f>
        <v>4:高级中学</v>
      </c>
      <c r="Q108" t="str">
        <f>"20165300242002645"</f>
        <v>20165300242002645</v>
      </c>
      <c r="R108" t="str">
        <f>"113931201605000130"</f>
        <v>113931201605000130</v>
      </c>
      <c r="S108" t="str">
        <f>"初中"</f>
        <v>初中</v>
      </c>
      <c r="T108" t="str">
        <f>"207:地理"</f>
        <v>207:地理</v>
      </c>
      <c r="U108" t="str">
        <f t="shared" si="23"/>
        <v>通过</v>
      </c>
    </row>
    <row r="109" spans="1:21" x14ac:dyDescent="0.15">
      <c r="A109" t="str">
        <f>"108"</f>
        <v>108</v>
      </c>
      <c r="B109" t="str">
        <f>"杨紫晴"</f>
        <v>杨紫晴</v>
      </c>
      <c r="C109" t="str">
        <f>"女        "</f>
        <v xml:space="preserve">女        </v>
      </c>
      <c r="D109" t="str">
        <f>"汉族"</f>
        <v>汉族</v>
      </c>
      <c r="E109" t="str">
        <f>"广西百色"</f>
        <v>广西百色</v>
      </c>
      <c r="F109" t="str">
        <f>"1994年10月"</f>
        <v>1994年10月</v>
      </c>
      <c r="G109" t="str">
        <f>"共青团员"</f>
        <v>共青团员</v>
      </c>
      <c r="H109" t="str">
        <f>"广西师范学院师园学院汉语言文学"</f>
        <v>广西师范学院师园学院汉语言文学</v>
      </c>
      <c r="I109" t="str">
        <f>"汉语言文学"</f>
        <v>汉语言文学</v>
      </c>
      <c r="J109" t="str">
        <f t="shared" si="32"/>
        <v>本科学士</v>
      </c>
      <c r="K109" t="str">
        <f t="shared" si="22"/>
        <v>百色市右江区</v>
      </c>
      <c r="L109" t="str">
        <f>"广西省百色市乐业县幼平乡"</f>
        <v>广西省百色市乐业县幼平乡</v>
      </c>
      <c r="M109" t="str">
        <f>""</f>
        <v/>
      </c>
      <c r="N109" t="str">
        <f>"2017.06.01"</f>
        <v>2017.06.01</v>
      </c>
      <c r="O109" t="str">
        <f>"是"</f>
        <v>是</v>
      </c>
      <c r="P109" t="str">
        <f>"3:初级中学"</f>
        <v>3:初级中学</v>
      </c>
      <c r="Q109" t="str">
        <f>"暂无"</f>
        <v>暂无</v>
      </c>
      <c r="R109" t="str">
        <f>"暂无"</f>
        <v>暂无</v>
      </c>
      <c r="S109" t="str">
        <f>"初中"</f>
        <v>初中</v>
      </c>
      <c r="T109" t="str">
        <f>"202:语文"</f>
        <v>202:语文</v>
      </c>
      <c r="U109" t="str">
        <f t="shared" si="23"/>
        <v>通过</v>
      </c>
    </row>
    <row r="110" spans="1:21" x14ac:dyDescent="0.15">
      <c r="A110" t="str">
        <f>"109"</f>
        <v>109</v>
      </c>
      <c r="B110" t="str">
        <f>"韦美倩"</f>
        <v>韦美倩</v>
      </c>
      <c r="C110" t="str">
        <f>"女        "</f>
        <v xml:space="preserve">女        </v>
      </c>
      <c r="D110" t="str">
        <f>"壮族"</f>
        <v>壮族</v>
      </c>
      <c r="E110" t="str">
        <f>"广西省百色市"</f>
        <v>广西省百色市</v>
      </c>
      <c r="F110" t="str">
        <f>"1994年11月"</f>
        <v>1994年11月</v>
      </c>
      <c r="G110" t="str">
        <f>"共青团员"</f>
        <v>共青团员</v>
      </c>
      <c r="H110" t="str">
        <f>"百色学院学前教育"</f>
        <v>百色学院学前教育</v>
      </c>
      <c r="I110" t="str">
        <f>"学前教育"</f>
        <v>学前教育</v>
      </c>
      <c r="J110" t="str">
        <f>"专科无学位"</f>
        <v>专科无学位</v>
      </c>
      <c r="K110" t="str">
        <f t="shared" si="22"/>
        <v>百色市右江区</v>
      </c>
      <c r="L110" t="str">
        <f>"广西百色市右江区阳圩镇塘里村塘香屯"</f>
        <v>广西百色市右江区阳圩镇塘里村塘香屯</v>
      </c>
      <c r="M110" t="str">
        <f>"2017.05.01"</f>
        <v>2017.05.01</v>
      </c>
      <c r="N110" t="str">
        <f>"2017.07.01"</f>
        <v>2017.07.01</v>
      </c>
      <c r="O110" t="str">
        <f>"是"</f>
        <v>是</v>
      </c>
      <c r="P110" t="str">
        <f>"1:幼儿园"</f>
        <v>1:幼儿园</v>
      </c>
      <c r="Q110" t="str">
        <f>"暂无"</f>
        <v>暂无</v>
      </c>
      <c r="R110" t="str">
        <f>"106091201706000530"</f>
        <v>106091201706000530</v>
      </c>
      <c r="S110" t="str">
        <f>"小学"</f>
        <v>小学</v>
      </c>
      <c r="T110" t="str">
        <f>"102:语文"</f>
        <v>102:语文</v>
      </c>
      <c r="U110" t="str">
        <f t="shared" si="23"/>
        <v>通过</v>
      </c>
    </row>
    <row r="111" spans="1:21" x14ac:dyDescent="0.15">
      <c r="A111" t="str">
        <f>"110"</f>
        <v>110</v>
      </c>
      <c r="B111" t="str">
        <f>"黄力"</f>
        <v>黄力</v>
      </c>
      <c r="C111" t="str">
        <f>"男        "</f>
        <v xml:space="preserve">男        </v>
      </c>
      <c r="D111" t="str">
        <f>"壮族"</f>
        <v>壮族</v>
      </c>
      <c r="E111" t="str">
        <f>"广西省百色市"</f>
        <v>广西省百色市</v>
      </c>
      <c r="F111" t="str">
        <f>"1990年02月"</f>
        <v>1990年02月</v>
      </c>
      <c r="G111" t="str">
        <f>"共青团员"</f>
        <v>共青团员</v>
      </c>
      <c r="H111" t="str">
        <f>"广西师范大学社会体育"</f>
        <v>广西师范大学社会体育</v>
      </c>
      <c r="I111" t="str">
        <f>"社会体育"</f>
        <v>社会体育</v>
      </c>
      <c r="J111" t="str">
        <f>"本科学士"</f>
        <v>本科学士</v>
      </c>
      <c r="K111" t="str">
        <f t="shared" si="22"/>
        <v>百色市右江区</v>
      </c>
      <c r="L111" t="str">
        <f>"百色市德保县南隆路182号"</f>
        <v>百色市德保县南隆路182号</v>
      </c>
      <c r="M111" t="str">
        <f>""</f>
        <v/>
      </c>
      <c r="N111" t="str">
        <f>"2015.07.01"</f>
        <v>2015.07.01</v>
      </c>
      <c r="O111" t="str">
        <f>"不是"</f>
        <v>不是</v>
      </c>
      <c r="P111" t="str">
        <f>"3:初级中学"</f>
        <v>3:初级中学</v>
      </c>
      <c r="Q111" t="str">
        <f>"教师资格证正在办理中"</f>
        <v>教师资格证正在办理中</v>
      </c>
      <c r="R111" t="str">
        <f>"106021201505006062"</f>
        <v>106021201505006062</v>
      </c>
      <c r="S111" t="str">
        <f>"初中"</f>
        <v>初中</v>
      </c>
      <c r="T111" t="str">
        <f>"212:体育"</f>
        <v>212:体育</v>
      </c>
      <c r="U111" t="str">
        <f t="shared" si="23"/>
        <v>通过</v>
      </c>
    </row>
    <row r="112" spans="1:21" x14ac:dyDescent="0.15">
      <c r="A112" t="str">
        <f>"111"</f>
        <v>111</v>
      </c>
      <c r="B112" t="str">
        <f>"卢悦云"</f>
        <v>卢悦云</v>
      </c>
      <c r="C112" t="str">
        <f>"女        "</f>
        <v xml:space="preserve">女        </v>
      </c>
      <c r="D112" t="str">
        <f>"壮族"</f>
        <v>壮族</v>
      </c>
      <c r="E112" t="str">
        <f>"广西百色"</f>
        <v>广西百色</v>
      </c>
      <c r="F112" t="str">
        <f>"1995年04月"</f>
        <v>1995年04月</v>
      </c>
      <c r="G112" t="str">
        <f>"共青团员"</f>
        <v>共青团员</v>
      </c>
      <c r="H112" t="str">
        <f>"广西幼儿师范高等专科学校小学美术教育"</f>
        <v>广西幼儿师范高等专科学校小学美术教育</v>
      </c>
      <c r="I112" t="str">
        <f>"小学美术教育"</f>
        <v>小学美术教育</v>
      </c>
      <c r="J112" t="str">
        <f>"专科无学位"</f>
        <v>专科无学位</v>
      </c>
      <c r="K112" t="str">
        <f t="shared" si="22"/>
        <v>百色市右江区</v>
      </c>
      <c r="L112" t="str">
        <f>"广西省百色市大华厂"</f>
        <v>广西省百色市大华厂</v>
      </c>
      <c r="M112" t="str">
        <f>""</f>
        <v/>
      </c>
      <c r="N112" t="str">
        <f>"2017.06.01"</f>
        <v>2017.06.01</v>
      </c>
      <c r="O112" t="str">
        <f>"是"</f>
        <v>是</v>
      </c>
      <c r="P112" t="str">
        <f>"0:暂未取得"</f>
        <v>0:暂未取得</v>
      </c>
      <c r="Q112" t="str">
        <f>"无"</f>
        <v>无</v>
      </c>
      <c r="R112" t="str">
        <f>"无"</f>
        <v>无</v>
      </c>
      <c r="S112" t="str">
        <f>"小学"</f>
        <v>小学</v>
      </c>
      <c r="T112" t="str">
        <f>"108:美术"</f>
        <v>108:美术</v>
      </c>
      <c r="U112" t="str">
        <f t="shared" si="23"/>
        <v>通过</v>
      </c>
    </row>
    <row r="113" spans="1:21" x14ac:dyDescent="0.15">
      <c r="A113" t="str">
        <f>"112"</f>
        <v>112</v>
      </c>
      <c r="B113" t="str">
        <f>"罗荣强"</f>
        <v>罗荣强</v>
      </c>
      <c r="C113" t="str">
        <f>"男        "</f>
        <v xml:space="preserve">男        </v>
      </c>
      <c r="D113" t="str">
        <f>"壮族"</f>
        <v>壮族</v>
      </c>
      <c r="E113" t="str">
        <f>"广西百色"</f>
        <v>广西百色</v>
      </c>
      <c r="F113" t="str">
        <f>"1988年09月"</f>
        <v>1988年09月</v>
      </c>
      <c r="G113" t="str">
        <f>"中共预备党员"</f>
        <v>中共预备党员</v>
      </c>
      <c r="H113" t="str">
        <f>"河池学院体育教育"</f>
        <v>河池学院体育教育</v>
      </c>
      <c r="I113" t="str">
        <f>"体育教育"</f>
        <v>体育教育</v>
      </c>
      <c r="J113" t="str">
        <f>"本科学士"</f>
        <v>本科学士</v>
      </c>
      <c r="K113" t="str">
        <f t="shared" si="22"/>
        <v>百色市右江区</v>
      </c>
      <c r="L113" t="str">
        <f>"百色市右江区龙川镇洞好村"</f>
        <v>百色市右江区龙川镇洞好村</v>
      </c>
      <c r="M113" t="str">
        <f>"2013.09.01"</f>
        <v>2013.09.01</v>
      </c>
      <c r="N113" t="str">
        <f>"2013.06.01"</f>
        <v>2013.06.01</v>
      </c>
      <c r="O113" t="str">
        <f>"是"</f>
        <v>是</v>
      </c>
      <c r="P113" t="str">
        <f>"4:高级中学"</f>
        <v>4:高级中学</v>
      </c>
      <c r="Q113" t="str">
        <f>"20134590041000458"</f>
        <v>20134590041000458</v>
      </c>
      <c r="R113" t="str">
        <f>"106051201305001138"</f>
        <v>106051201305001138</v>
      </c>
      <c r="S113" t="str">
        <f>"初中"</f>
        <v>初中</v>
      </c>
      <c r="T113" t="str">
        <f>"212:体育"</f>
        <v>212:体育</v>
      </c>
      <c r="U113" t="str">
        <f t="shared" si="23"/>
        <v>通过</v>
      </c>
    </row>
    <row r="114" spans="1:21" x14ac:dyDescent="0.15">
      <c r="A114" t="str">
        <f>"113"</f>
        <v>113</v>
      </c>
      <c r="B114" t="str">
        <f>"黄艳红"</f>
        <v>黄艳红</v>
      </c>
      <c r="C114" t="str">
        <f t="shared" ref="C114:C121" si="33">"女        "</f>
        <v xml:space="preserve">女        </v>
      </c>
      <c r="D114" t="str">
        <f>"汉族"</f>
        <v>汉族</v>
      </c>
      <c r="E114" t="str">
        <f>"广西凌云县"</f>
        <v>广西凌云县</v>
      </c>
      <c r="F114" t="str">
        <f>"1993年04月"</f>
        <v>1993年04月</v>
      </c>
      <c r="G114" t="str">
        <f t="shared" ref="G114:G120" si="34">"共青团员"</f>
        <v>共青团员</v>
      </c>
      <c r="H114" t="str">
        <f>"广西民族大学相思湖学院社会体育指导与管理"</f>
        <v>广西民族大学相思湖学院社会体育指导与管理</v>
      </c>
      <c r="I114" t="str">
        <f>"社会体育指导与管理"</f>
        <v>社会体育指导与管理</v>
      </c>
      <c r="J114" t="str">
        <f>"本科学士"</f>
        <v>本科学士</v>
      </c>
      <c r="K114" t="str">
        <f t="shared" si="22"/>
        <v>百色市右江区</v>
      </c>
      <c r="L114" t="str">
        <f>"广西百色市右江区站前大道平安路迎龙苑小区"</f>
        <v>广西百色市右江区站前大道平安路迎龙苑小区</v>
      </c>
      <c r="M114" t="str">
        <f>""</f>
        <v/>
      </c>
      <c r="N114" t="str">
        <f>"2017.07.01"</f>
        <v>2017.07.01</v>
      </c>
      <c r="O114" t="str">
        <f>"不是"</f>
        <v>不是</v>
      </c>
      <c r="P114" t="str">
        <f>"0:暂未取得"</f>
        <v>0:暂未取得</v>
      </c>
      <c r="Q114" t="str">
        <f>"2017届毕业生填暂无"</f>
        <v>2017届毕业生填暂无</v>
      </c>
      <c r="R114" t="str">
        <f>"2017届毕业生填暂无"</f>
        <v>2017届毕业生填暂无</v>
      </c>
      <c r="S114" t="str">
        <f>"初中"</f>
        <v>初中</v>
      </c>
      <c r="T114" t="str">
        <f>"212:体育"</f>
        <v>212:体育</v>
      </c>
      <c r="U114" t="str">
        <f t="shared" si="23"/>
        <v>通过</v>
      </c>
    </row>
    <row r="115" spans="1:21" x14ac:dyDescent="0.15">
      <c r="A115" t="str">
        <f>"114"</f>
        <v>114</v>
      </c>
      <c r="B115" t="str">
        <f>"窦彩琼"</f>
        <v>窦彩琼</v>
      </c>
      <c r="C115" t="str">
        <f t="shared" si="33"/>
        <v xml:space="preserve">女        </v>
      </c>
      <c r="D115" t="str">
        <f>"汉族"</f>
        <v>汉族</v>
      </c>
      <c r="E115" t="str">
        <f>"广西北流"</f>
        <v>广西北流</v>
      </c>
      <c r="F115" t="str">
        <f>"1994年07月"</f>
        <v>1994年07月</v>
      </c>
      <c r="G115" t="str">
        <f t="shared" si="34"/>
        <v>共青团员</v>
      </c>
      <c r="H115" t="str">
        <f>"广西幼儿师范高等专科学校特殊教育"</f>
        <v>广西幼儿师范高等专科学校特殊教育</v>
      </c>
      <c r="I115" t="str">
        <f>"特殊教育"</f>
        <v>特殊教育</v>
      </c>
      <c r="J115" t="str">
        <f>"专科无学位"</f>
        <v>专科无学位</v>
      </c>
      <c r="K115" t="str">
        <f t="shared" si="22"/>
        <v>百色市右江区</v>
      </c>
      <c r="L115" t="str">
        <f>"广西百色右江区太平街新隆巷60号"</f>
        <v>广西百色右江区太平街新隆巷60号</v>
      </c>
      <c r="M115" t="str">
        <f>"2016.09.01"</f>
        <v>2016.09.01</v>
      </c>
      <c r="N115" t="str">
        <f>"2017.06.01"</f>
        <v>2017.06.01</v>
      </c>
      <c r="O115" t="str">
        <f>"是"</f>
        <v>是</v>
      </c>
      <c r="P115" t="str">
        <f>"0:暂未取得"</f>
        <v>0:暂未取得</v>
      </c>
      <c r="Q115" t="str">
        <f>"暂无"</f>
        <v>暂无</v>
      </c>
      <c r="R115" t="str">
        <f>"暂无"</f>
        <v>暂无</v>
      </c>
      <c r="S115" t="str">
        <f>"小学"</f>
        <v>小学</v>
      </c>
      <c r="T115" t="str">
        <f>"103:数学"</f>
        <v>103:数学</v>
      </c>
      <c r="U115" t="str">
        <f t="shared" si="23"/>
        <v>通过</v>
      </c>
    </row>
    <row r="116" spans="1:21" x14ac:dyDescent="0.15">
      <c r="A116" t="str">
        <f>"115"</f>
        <v>115</v>
      </c>
      <c r="B116" t="str">
        <f>"陆何江"</f>
        <v>陆何江</v>
      </c>
      <c r="C116" t="str">
        <f t="shared" si="33"/>
        <v xml:space="preserve">女        </v>
      </c>
      <c r="D116" t="str">
        <f>"壮族"</f>
        <v>壮族</v>
      </c>
      <c r="E116" t="str">
        <f>"云南"</f>
        <v>云南</v>
      </c>
      <c r="F116" t="str">
        <f>"1991年11月"</f>
        <v>1991年11月</v>
      </c>
      <c r="G116" t="str">
        <f t="shared" si="34"/>
        <v>共青团员</v>
      </c>
      <c r="H116" t="str">
        <f>"德宏师范高等专科学校初等教育理科"</f>
        <v>德宏师范高等专科学校初等教育理科</v>
      </c>
      <c r="I116" t="str">
        <f>"初等教育理科"</f>
        <v>初等教育理科</v>
      </c>
      <c r="J116" t="str">
        <f>"专科无学位"</f>
        <v>专科无学位</v>
      </c>
      <c r="K116" t="str">
        <f t="shared" si="22"/>
        <v>百色市右江区</v>
      </c>
      <c r="L116" t="str">
        <f>"云南省文山壮族苗族自治州广南县坝美镇阿科三组272号"</f>
        <v>云南省文山壮族苗族自治州广南县坝美镇阿科三组272号</v>
      </c>
      <c r="M116" t="str">
        <f>"2014.09.01"</f>
        <v>2014.09.01</v>
      </c>
      <c r="N116" t="str">
        <f>"2014.06.01"</f>
        <v>2014.06.01</v>
      </c>
      <c r="O116" t="str">
        <f>"是"</f>
        <v>是</v>
      </c>
      <c r="P116" t="str">
        <f>"2:小学"</f>
        <v>2:小学</v>
      </c>
      <c r="Q116" t="str">
        <f>"20145311822000507"</f>
        <v>20145311822000507</v>
      </c>
      <c r="R116" t="str">
        <f>"140161201406001797"</f>
        <v>140161201406001797</v>
      </c>
      <c r="S116" t="str">
        <f>"小学"</f>
        <v>小学</v>
      </c>
      <c r="T116" t="str">
        <f>"103:数学"</f>
        <v>103:数学</v>
      </c>
      <c r="U116" t="str">
        <f t="shared" si="23"/>
        <v>通过</v>
      </c>
    </row>
    <row r="117" spans="1:21" x14ac:dyDescent="0.15">
      <c r="A117" t="str">
        <f>"116"</f>
        <v>116</v>
      </c>
      <c r="B117" t="str">
        <f>"王丰笛"</f>
        <v>王丰笛</v>
      </c>
      <c r="C117" t="str">
        <f t="shared" si="33"/>
        <v xml:space="preserve">女        </v>
      </c>
      <c r="D117" t="str">
        <f>"壮族"</f>
        <v>壮族</v>
      </c>
      <c r="E117" t="str">
        <f>"广西百色市"</f>
        <v>广西百色市</v>
      </c>
      <c r="F117" t="str">
        <f>"1994年11月"</f>
        <v>1994年11月</v>
      </c>
      <c r="G117" t="str">
        <f t="shared" si="34"/>
        <v>共青团员</v>
      </c>
      <c r="H117" t="str">
        <f>"广西民族师范学院化学"</f>
        <v>广西民族师范学院化学</v>
      </c>
      <c r="I117" t="str">
        <f>"化学"</f>
        <v>化学</v>
      </c>
      <c r="J117" t="str">
        <f>"本科学士"</f>
        <v>本科学士</v>
      </c>
      <c r="K117" t="str">
        <f t="shared" si="22"/>
        <v>百色市右江区</v>
      </c>
      <c r="L117" t="str">
        <f>"广西百色市右江区永乐乡北乐村六冲屯22号"</f>
        <v>广西百色市右江区永乐乡北乐村六冲屯22号</v>
      </c>
      <c r="M117" t="str">
        <f>""</f>
        <v/>
      </c>
      <c r="N117" t="str">
        <f>"2017.06.01"</f>
        <v>2017.06.01</v>
      </c>
      <c r="O117" t="str">
        <f>"不是"</f>
        <v>不是</v>
      </c>
      <c r="P117" t="str">
        <f>"0:暂未取得"</f>
        <v>0:暂未取得</v>
      </c>
      <c r="Q117" t="str">
        <f>"暂无"</f>
        <v>暂无</v>
      </c>
      <c r="R117" t="str">
        <f>"暂无"</f>
        <v>暂无</v>
      </c>
      <c r="S117" t="str">
        <f>"初中"</f>
        <v>初中</v>
      </c>
      <c r="T117" t="str">
        <f>"211:化学"</f>
        <v>211:化学</v>
      </c>
      <c r="U117" t="str">
        <f t="shared" si="23"/>
        <v>通过</v>
      </c>
    </row>
    <row r="118" spans="1:21" x14ac:dyDescent="0.15">
      <c r="A118" t="str">
        <f>"117"</f>
        <v>117</v>
      </c>
      <c r="B118" t="str">
        <f>"李春慧"</f>
        <v>李春慧</v>
      </c>
      <c r="C118" t="str">
        <f t="shared" si="33"/>
        <v xml:space="preserve">女        </v>
      </c>
      <c r="D118" t="str">
        <f>"壮族"</f>
        <v>壮族</v>
      </c>
      <c r="E118" t="str">
        <f>"广西百色市"</f>
        <v>广西百色市</v>
      </c>
      <c r="F118" t="str">
        <f>"1997年01月"</f>
        <v>1997年01月</v>
      </c>
      <c r="G118" t="str">
        <f t="shared" si="34"/>
        <v>共青团员</v>
      </c>
      <c r="H118" t="str">
        <f>"百色学院教育科学学院小学教育"</f>
        <v>百色学院教育科学学院小学教育</v>
      </c>
      <c r="I118" t="str">
        <f>"小学教育"</f>
        <v>小学教育</v>
      </c>
      <c r="J118" t="str">
        <f>"专科无学位"</f>
        <v>专科无学位</v>
      </c>
      <c r="K118" t="str">
        <f t="shared" si="22"/>
        <v>百色市右江区</v>
      </c>
      <c r="L118" t="str">
        <f>"广西百色市右江区汪甸瑶族乡汪甸村汪甸屯"</f>
        <v>广西百色市右江区汪甸瑶族乡汪甸村汪甸屯</v>
      </c>
      <c r="M118" t="str">
        <f>"2017.05.01"</f>
        <v>2017.05.01</v>
      </c>
      <c r="N118" t="str">
        <f>"2017.06.01"</f>
        <v>2017.06.01</v>
      </c>
      <c r="O118" t="str">
        <f t="shared" ref="O118:O123" si="35">"是"</f>
        <v>是</v>
      </c>
      <c r="P118" t="str">
        <f>"2:小学"</f>
        <v>2:小学</v>
      </c>
      <c r="Q118" t="str">
        <f>"2017届毕业生填暂无"</f>
        <v>2017届毕业生填暂无</v>
      </c>
      <c r="R118" t="str">
        <f>"2017届毕业生填暂无"</f>
        <v>2017届毕业生填暂无</v>
      </c>
      <c r="S118" t="str">
        <f>"小学"</f>
        <v>小学</v>
      </c>
      <c r="T118" t="str">
        <f>"103:数学"</f>
        <v>103:数学</v>
      </c>
      <c r="U118" t="str">
        <f t="shared" si="23"/>
        <v>通过</v>
      </c>
    </row>
    <row r="119" spans="1:21" x14ac:dyDescent="0.15">
      <c r="A119" t="str">
        <f>"118"</f>
        <v>118</v>
      </c>
      <c r="B119" t="str">
        <f>"廖爱婷"</f>
        <v>廖爱婷</v>
      </c>
      <c r="C119" t="str">
        <f t="shared" si="33"/>
        <v xml:space="preserve">女        </v>
      </c>
      <c r="D119" t="str">
        <f>"壮族"</f>
        <v>壮族</v>
      </c>
      <c r="E119" t="str">
        <f>"广西省百色市"</f>
        <v>广西省百色市</v>
      </c>
      <c r="F119" t="str">
        <f>"1994年02月"</f>
        <v>1994年02月</v>
      </c>
      <c r="G119" t="str">
        <f t="shared" si="34"/>
        <v>共青团员</v>
      </c>
      <c r="H119" t="str">
        <f>"湖北民族学院汉语言文学"</f>
        <v>湖北民族学院汉语言文学</v>
      </c>
      <c r="I119" t="str">
        <f>"汉语言文学"</f>
        <v>汉语言文学</v>
      </c>
      <c r="J119" t="str">
        <f>"本科学士"</f>
        <v>本科学士</v>
      </c>
      <c r="K119" t="str">
        <f t="shared" si="22"/>
        <v>百色市右江区</v>
      </c>
      <c r="L119" t="str">
        <f>"广西省百色市右江区汪甸乡塘兴村坡红屯"</f>
        <v>广西省百色市右江区汪甸乡塘兴村坡红屯</v>
      </c>
      <c r="M119" t="str">
        <f>"2016.11.01"</f>
        <v>2016.11.01</v>
      </c>
      <c r="N119" t="str">
        <f>"2017.06.01"</f>
        <v>2017.06.01</v>
      </c>
      <c r="O119" t="str">
        <f t="shared" si="35"/>
        <v>是</v>
      </c>
      <c r="P119" t="str">
        <f>"0:暂未取得"</f>
        <v>0:暂未取得</v>
      </c>
      <c r="Q119" t="str">
        <f>"2017届毕业生填暂无"</f>
        <v>2017届毕业生填暂无</v>
      </c>
      <c r="R119" t="str">
        <f>"105171201705715502"</f>
        <v>105171201705715502</v>
      </c>
      <c r="S119" t="str">
        <f>"小学"</f>
        <v>小学</v>
      </c>
      <c r="T119" t="str">
        <f>"102:语文"</f>
        <v>102:语文</v>
      </c>
      <c r="U119" t="str">
        <f t="shared" si="23"/>
        <v>通过</v>
      </c>
    </row>
    <row r="120" spans="1:21" x14ac:dyDescent="0.15">
      <c r="A120" t="str">
        <f>"119"</f>
        <v>119</v>
      </c>
      <c r="B120" t="str">
        <f>"谭佳盼"</f>
        <v>谭佳盼</v>
      </c>
      <c r="C120" t="str">
        <f t="shared" si="33"/>
        <v xml:space="preserve">女        </v>
      </c>
      <c r="D120" t="str">
        <f>"壮族"</f>
        <v>壮族</v>
      </c>
      <c r="E120" t="str">
        <f>"广西河池市东兰县"</f>
        <v>广西河池市东兰县</v>
      </c>
      <c r="F120" t="str">
        <f>"1995年06月"</f>
        <v>1995年06月</v>
      </c>
      <c r="G120" t="str">
        <f t="shared" si="34"/>
        <v>共青团员</v>
      </c>
      <c r="H120" t="str">
        <f>"百色学院人文教育"</f>
        <v>百色学院人文教育</v>
      </c>
      <c r="I120" t="str">
        <f>"人文教育"</f>
        <v>人文教育</v>
      </c>
      <c r="J120" t="str">
        <f>"本科学士"</f>
        <v>本科学士</v>
      </c>
      <c r="K120" t="str">
        <f t="shared" si="22"/>
        <v>百色市右江区</v>
      </c>
      <c r="L120" t="str">
        <f>"广西河池市东兰县隘洞镇板老村恒江屯"</f>
        <v>广西河池市东兰县隘洞镇板老村恒江屯</v>
      </c>
      <c r="M120" t="str">
        <f>""</f>
        <v/>
      </c>
      <c r="N120" t="str">
        <f>"2017.06.01"</f>
        <v>2017.06.01</v>
      </c>
      <c r="O120" t="str">
        <f t="shared" si="35"/>
        <v>是</v>
      </c>
      <c r="P120" t="str">
        <f>"3:初级中学"</f>
        <v>3:初级中学</v>
      </c>
      <c r="Q120" t="str">
        <f>"暂无"</f>
        <v>暂无</v>
      </c>
      <c r="R120" t="str">
        <f>"暂无"</f>
        <v>暂无</v>
      </c>
      <c r="S120" t="str">
        <f>"初中"</f>
        <v>初中</v>
      </c>
      <c r="T120" t="str">
        <f>"207:地理"</f>
        <v>207:地理</v>
      </c>
      <c r="U120" t="str">
        <f t="shared" si="23"/>
        <v>通过</v>
      </c>
    </row>
    <row r="121" spans="1:21" x14ac:dyDescent="0.15">
      <c r="A121" t="str">
        <f>"120"</f>
        <v>120</v>
      </c>
      <c r="B121" t="str">
        <f>"黎晓凤"</f>
        <v>黎晓凤</v>
      </c>
      <c r="C121" t="str">
        <f t="shared" si="33"/>
        <v xml:space="preserve">女        </v>
      </c>
      <c r="D121" t="str">
        <f>"汉族"</f>
        <v>汉族</v>
      </c>
      <c r="E121" t="str">
        <f>"广西贵港市平南县"</f>
        <v>广西贵港市平南县</v>
      </c>
      <c r="F121" t="str">
        <f>"1988年09月"</f>
        <v>1988年09月</v>
      </c>
      <c r="G121" t="str">
        <f>"中共党员"</f>
        <v>中共党员</v>
      </c>
      <c r="H121" t="str">
        <f>"广西教育学院汉语"</f>
        <v>广西教育学院汉语</v>
      </c>
      <c r="I121" t="str">
        <f>"汉语"</f>
        <v>汉语</v>
      </c>
      <c r="J121" t="str">
        <f>"专科学士"</f>
        <v>专科学士</v>
      </c>
      <c r="K121" t="str">
        <f t="shared" si="22"/>
        <v>百色市右江区</v>
      </c>
      <c r="L121" t="str">
        <f>"广西贵港市平南县大坡镇直道"</f>
        <v>广西贵港市平南县大坡镇直道</v>
      </c>
      <c r="M121" t="str">
        <f>"2011.09.01"</f>
        <v>2011.09.01</v>
      </c>
      <c r="N121" t="str">
        <f>"2011.06.01"</f>
        <v>2011.06.01</v>
      </c>
      <c r="O121" t="str">
        <f t="shared" si="35"/>
        <v>是</v>
      </c>
      <c r="P121" t="str">
        <f>"3:初级中学"</f>
        <v>3:初级中学</v>
      </c>
      <c r="Q121" t="str">
        <f>"20114501232000230"</f>
        <v>20114501232000230</v>
      </c>
      <c r="R121" t="str">
        <f>"508701201106000946"</f>
        <v>508701201106000946</v>
      </c>
      <c r="S121" t="str">
        <f>"小学"</f>
        <v>小学</v>
      </c>
      <c r="T121" t="str">
        <f>"102:语文"</f>
        <v>102:语文</v>
      </c>
      <c r="U121" t="str">
        <f t="shared" si="23"/>
        <v>通过</v>
      </c>
    </row>
    <row r="122" spans="1:21" x14ac:dyDescent="0.15">
      <c r="A122" t="str">
        <f>"121"</f>
        <v>121</v>
      </c>
      <c r="B122" t="str">
        <f>"周永祥"</f>
        <v>周永祥</v>
      </c>
      <c r="C122" t="str">
        <f>"男        "</f>
        <v xml:space="preserve">男        </v>
      </c>
      <c r="D122" t="str">
        <f>"壮族"</f>
        <v>壮族</v>
      </c>
      <c r="E122" t="str">
        <f>"右江区"</f>
        <v>右江区</v>
      </c>
      <c r="F122" t="str">
        <f>"1993年11月"</f>
        <v>1993年11月</v>
      </c>
      <c r="G122" t="str">
        <f t="shared" ref="G122:G128" si="36">"共青团员"</f>
        <v>共青团员</v>
      </c>
      <c r="H122" t="str">
        <f>"百色学院人文教育"</f>
        <v>百色学院人文教育</v>
      </c>
      <c r="I122" t="str">
        <f>"人文教育"</f>
        <v>人文教育</v>
      </c>
      <c r="J122" t="str">
        <f>"本科学士"</f>
        <v>本科学士</v>
      </c>
      <c r="K122" t="str">
        <f t="shared" si="22"/>
        <v>百色市右江区</v>
      </c>
      <c r="L122" t="str">
        <f>"广西百色市右江区汪甸乡沙洪村六洪屯24号"</f>
        <v>广西百色市右江区汪甸乡沙洪村六洪屯24号</v>
      </c>
      <c r="M122" t="str">
        <f>"2017.05.01"</f>
        <v>2017.05.01</v>
      </c>
      <c r="N122" t="str">
        <f>"2017.06.01"</f>
        <v>2017.06.01</v>
      </c>
      <c r="O122" t="str">
        <f t="shared" si="35"/>
        <v>是</v>
      </c>
      <c r="P122" t="str">
        <f>"4:高级中学"</f>
        <v>4:高级中学</v>
      </c>
      <c r="Q122" t="str">
        <f>"无"</f>
        <v>无</v>
      </c>
      <c r="R122" t="str">
        <f>"无"</f>
        <v>无</v>
      </c>
      <c r="S122" t="str">
        <f>"初中"</f>
        <v>初中</v>
      </c>
      <c r="T122" t="str">
        <f>"206:历史"</f>
        <v>206:历史</v>
      </c>
      <c r="U122" t="str">
        <f t="shared" si="23"/>
        <v>通过</v>
      </c>
    </row>
    <row r="123" spans="1:21" x14ac:dyDescent="0.15">
      <c r="A123" t="str">
        <f>"122"</f>
        <v>122</v>
      </c>
      <c r="B123" t="str">
        <f>"侯朝信"</f>
        <v>侯朝信</v>
      </c>
      <c r="C123" t="str">
        <f>"男        "</f>
        <v xml:space="preserve">男        </v>
      </c>
      <c r="D123" t="str">
        <f>"苗族"</f>
        <v>苗族</v>
      </c>
      <c r="E123" t="str">
        <f>"云南省文山州西畴县"</f>
        <v>云南省文山州西畴县</v>
      </c>
      <c r="F123" t="str">
        <f>"1990年08月"</f>
        <v>1990年08月</v>
      </c>
      <c r="G123" t="str">
        <f t="shared" si="36"/>
        <v>共青团员</v>
      </c>
      <c r="H123" t="str">
        <f>"丽江师范高等专科学校小学教育"</f>
        <v>丽江师范高等专科学校小学教育</v>
      </c>
      <c r="I123" t="str">
        <f>"小学教育"</f>
        <v>小学教育</v>
      </c>
      <c r="J123" t="str">
        <f>"专科无学位"</f>
        <v>专科无学位</v>
      </c>
      <c r="K123" t="str">
        <f t="shared" si="22"/>
        <v>百色市右江区</v>
      </c>
      <c r="L123" t="str">
        <f>"云南省文山州西畴县兴街镇"</f>
        <v>云南省文山州西畴县兴街镇</v>
      </c>
      <c r="M123" t="str">
        <f>""</f>
        <v/>
      </c>
      <c r="N123" t="str">
        <f>"2014.07.01"</f>
        <v>2014.07.01</v>
      </c>
      <c r="O123" t="str">
        <f t="shared" si="35"/>
        <v>是</v>
      </c>
      <c r="P123" t="str">
        <f>"2:小学"</f>
        <v>2:小学</v>
      </c>
      <c r="Q123" t="str">
        <f>"20165307621000057"</f>
        <v>20165307621000057</v>
      </c>
      <c r="R123" t="str">
        <f>"140151201406001690"</f>
        <v>140151201406001690</v>
      </c>
      <c r="S123" t="str">
        <f>"小学"</f>
        <v>小学</v>
      </c>
      <c r="T123" t="str">
        <f>"103:数学"</f>
        <v>103:数学</v>
      </c>
      <c r="U123" t="str">
        <f t="shared" si="23"/>
        <v>通过</v>
      </c>
    </row>
    <row r="124" spans="1:21" x14ac:dyDescent="0.15">
      <c r="A124" t="str">
        <f>"123"</f>
        <v>123</v>
      </c>
      <c r="B124" t="str">
        <f>"马荣芳"</f>
        <v>马荣芳</v>
      </c>
      <c r="C124" t="str">
        <f>"女        "</f>
        <v xml:space="preserve">女        </v>
      </c>
      <c r="D124" t="str">
        <f>"壮族"</f>
        <v>壮族</v>
      </c>
      <c r="E124" t="str">
        <f>"广西田阳县"</f>
        <v>广西田阳县</v>
      </c>
      <c r="F124" t="str">
        <f>"1995年10月"</f>
        <v>1995年10月</v>
      </c>
      <c r="G124" t="str">
        <f t="shared" si="36"/>
        <v>共青团员</v>
      </c>
      <c r="H124" t="str">
        <f>"广西民族师范学院行政管理"</f>
        <v>广西民族师范学院行政管理</v>
      </c>
      <c r="I124" t="str">
        <f>"行政管理"</f>
        <v>行政管理</v>
      </c>
      <c r="J124" t="str">
        <f>"本科学士"</f>
        <v>本科学士</v>
      </c>
      <c r="K124" t="str">
        <f t="shared" si="22"/>
        <v>百色市右江区</v>
      </c>
      <c r="L124" t="str">
        <f>"广西百色市田阳县那满镇新立村更达屯"</f>
        <v>广西百色市田阳县那满镇新立村更达屯</v>
      </c>
      <c r="M124" t="str">
        <f>""</f>
        <v/>
      </c>
      <c r="N124" t="str">
        <f>"2017.07.01"</f>
        <v>2017.07.01</v>
      </c>
      <c r="O124" t="str">
        <f>"不是"</f>
        <v>不是</v>
      </c>
      <c r="P124" t="str">
        <f>"3:初级中学"</f>
        <v>3:初级中学</v>
      </c>
      <c r="Q124" t="str">
        <f>"2017届毕业生填暂无"</f>
        <v>2017届毕业生填暂无</v>
      </c>
      <c r="R124" t="str">
        <f>"2017届毕业生填暂无"</f>
        <v>2017届毕业生填暂无</v>
      </c>
      <c r="S124" t="str">
        <f>"初中"</f>
        <v>初中</v>
      </c>
      <c r="T124" t="str">
        <f>"299:政治"</f>
        <v>299:政治</v>
      </c>
      <c r="U124" t="str">
        <f t="shared" si="23"/>
        <v>通过</v>
      </c>
    </row>
    <row r="125" spans="1:21" x14ac:dyDescent="0.15">
      <c r="A125" t="str">
        <f>"124"</f>
        <v>124</v>
      </c>
      <c r="B125" t="str">
        <f>"陈延娇"</f>
        <v>陈延娇</v>
      </c>
      <c r="C125" t="str">
        <f>"女        "</f>
        <v xml:space="preserve">女        </v>
      </c>
      <c r="D125" t="str">
        <f>"壮族"</f>
        <v>壮族</v>
      </c>
      <c r="E125" t="str">
        <f>"广西田阳县"</f>
        <v>广西田阳县</v>
      </c>
      <c r="F125" t="str">
        <f>"1994年06月"</f>
        <v>1994年06月</v>
      </c>
      <c r="G125" t="str">
        <f t="shared" si="36"/>
        <v>共青团员</v>
      </c>
      <c r="H125" t="str">
        <f>"广西师范大学历史学"</f>
        <v>广西师范大学历史学</v>
      </c>
      <c r="I125" t="str">
        <f>"历史学"</f>
        <v>历史学</v>
      </c>
      <c r="J125" t="str">
        <f>"本科硕士"</f>
        <v>本科硕士</v>
      </c>
      <c r="K125" t="str">
        <f t="shared" si="22"/>
        <v>百色市右江区</v>
      </c>
      <c r="L125" t="str">
        <f>"广西百色市田阳县美丽花园7排1号"</f>
        <v>广西百色市田阳县美丽花园7排1号</v>
      </c>
      <c r="M125" t="str">
        <f>""</f>
        <v/>
      </c>
      <c r="N125" t="str">
        <f>"2017.06.01"</f>
        <v>2017.06.01</v>
      </c>
      <c r="O125" t="str">
        <f t="shared" ref="O125:O130" si="37">"是"</f>
        <v>是</v>
      </c>
      <c r="P125" t="str">
        <f>"4:高级中学"</f>
        <v>4:高级中学</v>
      </c>
      <c r="Q125" t="str">
        <f>"2017届毕业生填暂无"</f>
        <v>2017届毕业生填暂无</v>
      </c>
      <c r="R125" t="str">
        <f>"2017届毕业生填暂无"</f>
        <v>2017届毕业生填暂无</v>
      </c>
      <c r="S125" t="str">
        <f>"初中"</f>
        <v>初中</v>
      </c>
      <c r="T125" t="str">
        <f>"206:历史"</f>
        <v>206:历史</v>
      </c>
      <c r="U125" t="str">
        <f t="shared" si="23"/>
        <v>通过</v>
      </c>
    </row>
    <row r="126" spans="1:21" x14ac:dyDescent="0.15">
      <c r="A126" t="str">
        <f>"125"</f>
        <v>125</v>
      </c>
      <c r="B126" t="str">
        <f>"黄海湾"</f>
        <v>黄海湾</v>
      </c>
      <c r="C126" t="str">
        <f>"女        "</f>
        <v xml:space="preserve">女        </v>
      </c>
      <c r="D126" t="str">
        <f>"壮族"</f>
        <v>壮族</v>
      </c>
      <c r="E126" t="str">
        <f>"广西百色"</f>
        <v>广西百色</v>
      </c>
      <c r="F126" t="str">
        <f>"1993年09月"</f>
        <v>1993年09月</v>
      </c>
      <c r="G126" t="str">
        <f t="shared" si="36"/>
        <v>共青团员</v>
      </c>
      <c r="H126" t="str">
        <f>"百色学院学前教育"</f>
        <v>百色学院学前教育</v>
      </c>
      <c r="I126" t="str">
        <f>"学前教育"</f>
        <v>学前教育</v>
      </c>
      <c r="J126" t="str">
        <f>"专科无学位"</f>
        <v>专科无学位</v>
      </c>
      <c r="K126" t="str">
        <f t="shared" si="22"/>
        <v>百色市右江区</v>
      </c>
      <c r="L126" t="str">
        <f>"广西百色市德保县都安乡三合村那排屯"</f>
        <v>广西百色市德保县都安乡三合村那排屯</v>
      </c>
      <c r="M126" t="str">
        <f>"2016.07.01"</f>
        <v>2016.07.01</v>
      </c>
      <c r="N126" t="str">
        <f>"2016.06.01"</f>
        <v>2016.06.01</v>
      </c>
      <c r="O126" t="str">
        <f t="shared" si="37"/>
        <v>是</v>
      </c>
      <c r="P126" t="str">
        <f>"2:小学"</f>
        <v>2:小学</v>
      </c>
      <c r="Q126" t="str">
        <f>"正在办理中"</f>
        <v>正在办理中</v>
      </c>
      <c r="R126" t="str">
        <f>"106091201606000016"</f>
        <v>106091201606000016</v>
      </c>
      <c r="S126" t="str">
        <f>"小学"</f>
        <v>小学</v>
      </c>
      <c r="T126" t="str">
        <f>"102:语文"</f>
        <v>102:语文</v>
      </c>
      <c r="U126" t="str">
        <f t="shared" si="23"/>
        <v>通过</v>
      </c>
    </row>
    <row r="127" spans="1:21" x14ac:dyDescent="0.15">
      <c r="A127" t="str">
        <f>"126"</f>
        <v>126</v>
      </c>
      <c r="B127" t="str">
        <f>"刘夏依"</f>
        <v>刘夏依</v>
      </c>
      <c r="C127" t="str">
        <f>"女        "</f>
        <v xml:space="preserve">女        </v>
      </c>
      <c r="D127" t="str">
        <f>"壮族"</f>
        <v>壮族</v>
      </c>
      <c r="E127" t="str">
        <f>"广西田东县"</f>
        <v>广西田东县</v>
      </c>
      <c r="F127" t="str">
        <f>"1995年09月"</f>
        <v>1995年09月</v>
      </c>
      <c r="G127" t="str">
        <f t="shared" si="36"/>
        <v>共青团员</v>
      </c>
      <c r="H127" t="str">
        <f>"广西师范学院化学"</f>
        <v>广西师范学院化学</v>
      </c>
      <c r="I127" t="str">
        <f>"化学"</f>
        <v>化学</v>
      </c>
      <c r="J127" t="str">
        <f>"本科学士"</f>
        <v>本科学士</v>
      </c>
      <c r="K127" t="str">
        <f t="shared" si="22"/>
        <v>百色市右江区</v>
      </c>
      <c r="L127" t="str">
        <f>"广西田东县思林镇百笔村同均屯127号"</f>
        <v>广西田东县思林镇百笔村同均屯127号</v>
      </c>
      <c r="M127" t="str">
        <f>"2017.05.01"</f>
        <v>2017.05.01</v>
      </c>
      <c r="N127" t="str">
        <f>"2017.07.01"</f>
        <v>2017.07.01</v>
      </c>
      <c r="O127" t="str">
        <f t="shared" si="37"/>
        <v>是</v>
      </c>
      <c r="P127" t="str">
        <f>"4:高级中学"</f>
        <v>4:高级中学</v>
      </c>
      <c r="Q127" t="str">
        <f>"暂无"</f>
        <v>暂无</v>
      </c>
      <c r="R127" t="str">
        <f>"暂无"</f>
        <v>暂无</v>
      </c>
      <c r="S127" t="str">
        <f>"初中"</f>
        <v>初中</v>
      </c>
      <c r="T127" t="str">
        <f>"211:化学"</f>
        <v>211:化学</v>
      </c>
      <c r="U127" t="str">
        <f t="shared" si="23"/>
        <v>通过</v>
      </c>
    </row>
    <row r="128" spans="1:21" x14ac:dyDescent="0.15">
      <c r="A128" t="str">
        <f>"127"</f>
        <v>127</v>
      </c>
      <c r="B128" t="str">
        <f>"兰启赢"</f>
        <v>兰启赢</v>
      </c>
      <c r="C128" t="str">
        <f>"男        "</f>
        <v xml:space="preserve">男        </v>
      </c>
      <c r="D128" t="str">
        <f>"瑶族"</f>
        <v>瑶族</v>
      </c>
      <c r="E128" t="str">
        <f>"广西平果"</f>
        <v>广西平果</v>
      </c>
      <c r="F128" t="str">
        <f>"1993年11月"</f>
        <v>1993年11月</v>
      </c>
      <c r="G128" t="str">
        <f t="shared" si="36"/>
        <v>共青团员</v>
      </c>
      <c r="H128" t="str">
        <f>"云南师范大学文理学院体育教育"</f>
        <v>云南师范大学文理学院体育教育</v>
      </c>
      <c r="I128" t="str">
        <f>"体育教育"</f>
        <v>体育教育</v>
      </c>
      <c r="J128" t="str">
        <f>"本科学士"</f>
        <v>本科学士</v>
      </c>
      <c r="K128" t="str">
        <f t="shared" si="22"/>
        <v>百色市右江区</v>
      </c>
      <c r="L128" t="str">
        <f>"广西平果县黎明乡蟠桃村"</f>
        <v>广西平果县黎明乡蟠桃村</v>
      </c>
      <c r="M128" t="str">
        <f>"2016.10.01"</f>
        <v>2016.10.01</v>
      </c>
      <c r="N128" t="str">
        <f>"2016.06.01"</f>
        <v>2016.06.01</v>
      </c>
      <c r="O128" t="str">
        <f t="shared" si="37"/>
        <v>是</v>
      </c>
      <c r="P128" t="str">
        <f>"4:高级中学"</f>
        <v>4:高级中学</v>
      </c>
      <c r="Q128" t="str">
        <f>"20165300241000942"</f>
        <v>20165300241000942</v>
      </c>
      <c r="R128" t="str">
        <f>"133311201605000541"</f>
        <v>133311201605000541</v>
      </c>
      <c r="S128" t="str">
        <f>"初中"</f>
        <v>初中</v>
      </c>
      <c r="T128" t="str">
        <f>"212:体育"</f>
        <v>212:体育</v>
      </c>
      <c r="U128" t="str">
        <f t="shared" si="23"/>
        <v>通过</v>
      </c>
    </row>
    <row r="129" spans="1:21" x14ac:dyDescent="0.15">
      <c r="A129" t="str">
        <f>"128"</f>
        <v>128</v>
      </c>
      <c r="B129" t="str">
        <f>"梁慧英"</f>
        <v>梁慧英</v>
      </c>
      <c r="C129" t="str">
        <f>"女        "</f>
        <v xml:space="preserve">女        </v>
      </c>
      <c r="D129" t="str">
        <f>"壮族"</f>
        <v>壮族</v>
      </c>
      <c r="E129" t="str">
        <f>"广西那坡"</f>
        <v>广西那坡</v>
      </c>
      <c r="F129" t="str">
        <f>"1991年12月"</f>
        <v>1991年12月</v>
      </c>
      <c r="G129" t="str">
        <f>"群众"</f>
        <v>群众</v>
      </c>
      <c r="H129" t="str">
        <f>"百色学院综合文科教育"</f>
        <v>百色学院综合文科教育</v>
      </c>
      <c r="I129" t="str">
        <f>"综合文科教育"</f>
        <v>综合文科教育</v>
      </c>
      <c r="J129" t="str">
        <f>"专科无学位"</f>
        <v>专科无学位</v>
      </c>
      <c r="K129" t="str">
        <f t="shared" si="22"/>
        <v>百色市右江区</v>
      </c>
      <c r="L129" t="str">
        <f>""</f>
        <v/>
      </c>
      <c r="M129" t="str">
        <f>"2014.09.01"</f>
        <v>2014.09.01</v>
      </c>
      <c r="N129" t="str">
        <f>"2014.07.01"</f>
        <v>2014.07.01</v>
      </c>
      <c r="O129" t="str">
        <f t="shared" si="37"/>
        <v>是</v>
      </c>
      <c r="P129" t="str">
        <f>"3:初级中学"</f>
        <v>3:初级中学</v>
      </c>
      <c r="Q129" t="str">
        <f>"20144580032000027"</f>
        <v>20144580032000027</v>
      </c>
      <c r="R129" t="str">
        <f>"106091201406000434"</f>
        <v>106091201406000434</v>
      </c>
      <c r="S129" t="str">
        <f>"小学"</f>
        <v>小学</v>
      </c>
      <c r="T129" t="str">
        <f>"102:语文"</f>
        <v>102:语文</v>
      </c>
      <c r="U129" t="str">
        <f t="shared" si="23"/>
        <v>通过</v>
      </c>
    </row>
    <row r="130" spans="1:21" x14ac:dyDescent="0.15">
      <c r="A130" t="str">
        <f>"129"</f>
        <v>129</v>
      </c>
      <c r="B130" t="str">
        <f>"李飘飘"</f>
        <v>李飘飘</v>
      </c>
      <c r="C130" t="str">
        <f>"女        "</f>
        <v xml:space="preserve">女        </v>
      </c>
      <c r="D130" t="str">
        <f>"汉族"</f>
        <v>汉族</v>
      </c>
      <c r="E130" t="str">
        <f>"湖南"</f>
        <v>湖南</v>
      </c>
      <c r="F130" t="str">
        <f>"1992年08月"</f>
        <v>1992年08月</v>
      </c>
      <c r="G130" t="str">
        <f t="shared" ref="G130:G135" si="38">"共青团员"</f>
        <v>共青团员</v>
      </c>
      <c r="H130" t="str">
        <f>"广西民族师范学院音乐学"</f>
        <v>广西民族师范学院音乐学</v>
      </c>
      <c r="I130" t="str">
        <f>"音乐学"</f>
        <v>音乐学</v>
      </c>
      <c r="J130" t="str">
        <f>"本科学士"</f>
        <v>本科学士</v>
      </c>
      <c r="K130" t="str">
        <f t="shared" ref="K130:K193" si="39">"百色市右江区"</f>
        <v>百色市右江区</v>
      </c>
      <c r="L130" t="str">
        <f>""</f>
        <v/>
      </c>
      <c r="M130" t="str">
        <f>"2015.06.01"</f>
        <v>2015.06.01</v>
      </c>
      <c r="N130" t="str">
        <f>"2015.05.01"</f>
        <v>2015.05.01</v>
      </c>
      <c r="O130" t="str">
        <f t="shared" si="37"/>
        <v>是</v>
      </c>
      <c r="P130" t="str">
        <f>"4:高级中学"</f>
        <v>4:高级中学</v>
      </c>
      <c r="Q130" t="str">
        <f>"20154510042000901"</f>
        <v>20154510042000901</v>
      </c>
      <c r="R130" t="str">
        <f>"106041201505001642"</f>
        <v>106041201505001642</v>
      </c>
      <c r="S130" t="str">
        <f>"小学"</f>
        <v>小学</v>
      </c>
      <c r="T130" t="str">
        <f>"107:音乐"</f>
        <v>107:音乐</v>
      </c>
      <c r="U130" t="str">
        <f t="shared" ref="U130:U193" si="40">"通过"</f>
        <v>通过</v>
      </c>
    </row>
    <row r="131" spans="1:21" x14ac:dyDescent="0.15">
      <c r="A131" t="str">
        <f>"130"</f>
        <v>130</v>
      </c>
      <c r="B131" t="str">
        <f>"黄海媚"</f>
        <v>黄海媚</v>
      </c>
      <c r="C131" t="str">
        <f>"女        "</f>
        <v xml:space="preserve">女        </v>
      </c>
      <c r="D131" t="str">
        <f>"壮族"</f>
        <v>壮族</v>
      </c>
      <c r="E131" t="str">
        <f>"广西平果"</f>
        <v>广西平果</v>
      </c>
      <c r="F131" t="str">
        <f>"1994年04月"</f>
        <v>1994年04月</v>
      </c>
      <c r="G131" t="str">
        <f t="shared" si="38"/>
        <v>共青团员</v>
      </c>
      <c r="H131" t="str">
        <f>"广西财经学院工商管理"</f>
        <v>广西财经学院工商管理</v>
      </c>
      <c r="I131" t="str">
        <f>"工商管理"</f>
        <v>工商管理</v>
      </c>
      <c r="J131" t="str">
        <f>"本科学士"</f>
        <v>本科学士</v>
      </c>
      <c r="K131" t="str">
        <f t="shared" si="39"/>
        <v>百色市右江区</v>
      </c>
      <c r="L131" t="str">
        <f>"广西平果县盘龙财富中心2栋5单元"</f>
        <v>广西平果县盘龙财富中心2栋5单元</v>
      </c>
      <c r="M131" t="str">
        <f>"2017.02.01"</f>
        <v>2017.02.01</v>
      </c>
      <c r="N131" t="str">
        <f>"2017.07.01"</f>
        <v>2017.07.01</v>
      </c>
      <c r="O131" t="str">
        <f>"不是"</f>
        <v>不是</v>
      </c>
      <c r="P131" t="str">
        <f>"2:小学"</f>
        <v>2:小学</v>
      </c>
      <c r="Q131" t="str">
        <f t="shared" ref="Q131:R133" si="41">"暂无"</f>
        <v>暂无</v>
      </c>
      <c r="R131" t="str">
        <f t="shared" si="41"/>
        <v>暂无</v>
      </c>
      <c r="S131" t="str">
        <f>"小学"</f>
        <v>小学</v>
      </c>
      <c r="T131" t="str">
        <f>"102:语文"</f>
        <v>102:语文</v>
      </c>
      <c r="U131" t="str">
        <f t="shared" si="40"/>
        <v>通过</v>
      </c>
    </row>
    <row r="132" spans="1:21" x14ac:dyDescent="0.15">
      <c r="A132" t="str">
        <f>"131"</f>
        <v>131</v>
      </c>
      <c r="B132" t="str">
        <f>"陈健菲"</f>
        <v>陈健菲</v>
      </c>
      <c r="C132" t="str">
        <f>"女        "</f>
        <v xml:space="preserve">女        </v>
      </c>
      <c r="D132" t="str">
        <f>"汉族"</f>
        <v>汉族</v>
      </c>
      <c r="E132" t="str">
        <f>"广西"</f>
        <v>广西</v>
      </c>
      <c r="F132" t="str">
        <f>"1991年01月"</f>
        <v>1991年01月</v>
      </c>
      <c r="G132" t="str">
        <f t="shared" si="38"/>
        <v>共青团员</v>
      </c>
      <c r="H132" t="str">
        <f>"广西大学行健文理学院美术学"</f>
        <v>广西大学行健文理学院美术学</v>
      </c>
      <c r="I132" t="str">
        <f>"美术学"</f>
        <v>美术学</v>
      </c>
      <c r="J132" t="str">
        <f>"本科学士"</f>
        <v>本科学士</v>
      </c>
      <c r="K132" t="str">
        <f t="shared" si="39"/>
        <v>百色市右江区</v>
      </c>
      <c r="L132" t="str">
        <f>"广西凌云县逻楼镇歌顶村下拢磁屯8号"</f>
        <v>广西凌云县逻楼镇歌顶村下拢磁屯8号</v>
      </c>
      <c r="M132" t="str">
        <f>"2017.05.01"</f>
        <v>2017.05.01</v>
      </c>
      <c r="N132" t="str">
        <f>"2017.06.01"</f>
        <v>2017.06.01</v>
      </c>
      <c r="O132" t="str">
        <f>"不是"</f>
        <v>不是</v>
      </c>
      <c r="P132" t="str">
        <f>"4:高级中学"</f>
        <v>4:高级中学</v>
      </c>
      <c r="Q132" t="str">
        <f t="shared" si="41"/>
        <v>暂无</v>
      </c>
      <c r="R132" t="str">
        <f t="shared" si="41"/>
        <v>暂无</v>
      </c>
      <c r="S132" t="str">
        <f>"小学"</f>
        <v>小学</v>
      </c>
      <c r="T132" t="str">
        <f>"108:美术"</f>
        <v>108:美术</v>
      </c>
      <c r="U132" t="str">
        <f t="shared" si="40"/>
        <v>通过</v>
      </c>
    </row>
    <row r="133" spans="1:21" x14ac:dyDescent="0.15">
      <c r="A133" t="str">
        <f>"132"</f>
        <v>132</v>
      </c>
      <c r="B133" t="str">
        <f>"王敏"</f>
        <v>王敏</v>
      </c>
      <c r="C133" t="str">
        <f>"女        "</f>
        <v xml:space="preserve">女        </v>
      </c>
      <c r="D133" t="str">
        <f>"汉族"</f>
        <v>汉族</v>
      </c>
      <c r="E133" t="str">
        <f>"广西凌云"</f>
        <v>广西凌云</v>
      </c>
      <c r="F133" t="str">
        <f>"1995年02月"</f>
        <v>1995年02月</v>
      </c>
      <c r="G133" t="str">
        <f t="shared" si="38"/>
        <v>共青团员</v>
      </c>
      <c r="H133" t="str">
        <f>"百色学院体育教育"</f>
        <v>百色学院体育教育</v>
      </c>
      <c r="I133" t="str">
        <f>"体育教育"</f>
        <v>体育教育</v>
      </c>
      <c r="J133" t="str">
        <f>"本科学士"</f>
        <v>本科学士</v>
      </c>
      <c r="K133" t="str">
        <f t="shared" si="39"/>
        <v>百色市右江区</v>
      </c>
      <c r="L133" t="str">
        <f>"广西百色市凌云县加尤镇杂福村坝王屯12号"</f>
        <v>广西百色市凌云县加尤镇杂福村坝王屯12号</v>
      </c>
      <c r="M133" t="str">
        <f>"2016.09.01"</f>
        <v>2016.09.01</v>
      </c>
      <c r="N133" t="str">
        <f>"2017.07.01"</f>
        <v>2017.07.01</v>
      </c>
      <c r="O133" t="str">
        <f>"是"</f>
        <v>是</v>
      </c>
      <c r="P133" t="str">
        <f>"4:高级中学"</f>
        <v>4:高级中学</v>
      </c>
      <c r="Q133" t="str">
        <f t="shared" si="41"/>
        <v>暂无</v>
      </c>
      <c r="R133" t="str">
        <f t="shared" si="41"/>
        <v>暂无</v>
      </c>
      <c r="S133" t="str">
        <f>"初中"</f>
        <v>初中</v>
      </c>
      <c r="T133" t="str">
        <f>"212:体育"</f>
        <v>212:体育</v>
      </c>
      <c r="U133" t="str">
        <f t="shared" si="40"/>
        <v>通过</v>
      </c>
    </row>
    <row r="134" spans="1:21" x14ac:dyDescent="0.15">
      <c r="A134" t="str">
        <f>"133"</f>
        <v>133</v>
      </c>
      <c r="B134" t="str">
        <f>"黎永柱"</f>
        <v>黎永柱</v>
      </c>
      <c r="C134" t="str">
        <f>"男        "</f>
        <v xml:space="preserve">男        </v>
      </c>
      <c r="D134" t="str">
        <f>"壮族"</f>
        <v>壮族</v>
      </c>
      <c r="E134" t="str">
        <f>"广西百色"</f>
        <v>广西百色</v>
      </c>
      <c r="F134" t="str">
        <f>"1994年10月"</f>
        <v>1994年10月</v>
      </c>
      <c r="G134" t="str">
        <f t="shared" si="38"/>
        <v>共青团员</v>
      </c>
      <c r="H134" t="str">
        <f>"贺州学院音乐学"</f>
        <v>贺州学院音乐学</v>
      </c>
      <c r="I134" t="str">
        <f>"音乐学"</f>
        <v>音乐学</v>
      </c>
      <c r="J134" t="str">
        <f>"本科学士"</f>
        <v>本科学士</v>
      </c>
      <c r="K134" t="str">
        <f t="shared" si="39"/>
        <v>百色市右江区</v>
      </c>
      <c r="L134" t="str">
        <f>"广西百色乐业县同乐镇达存村达朗屯"</f>
        <v>广西百色乐业县同乐镇达存村达朗屯</v>
      </c>
      <c r="M134" t="str">
        <f>""</f>
        <v/>
      </c>
      <c r="N134" t="str">
        <f>"2017.07.01"</f>
        <v>2017.07.01</v>
      </c>
      <c r="O134" t="str">
        <f>"是"</f>
        <v>是</v>
      </c>
      <c r="P134" t="str">
        <f>"4:高级中学"</f>
        <v>4:高级中学</v>
      </c>
      <c r="Q134" t="str">
        <f>"无"</f>
        <v>无</v>
      </c>
      <c r="R134" t="str">
        <f>"无"</f>
        <v>无</v>
      </c>
      <c r="S134" t="str">
        <f>"小学"</f>
        <v>小学</v>
      </c>
      <c r="T134" t="str">
        <f>"107:音乐"</f>
        <v>107:音乐</v>
      </c>
      <c r="U134" t="str">
        <f t="shared" si="40"/>
        <v>通过</v>
      </c>
    </row>
    <row r="135" spans="1:21" x14ac:dyDescent="0.15">
      <c r="A135" t="str">
        <f>"134"</f>
        <v>134</v>
      </c>
      <c r="B135" t="str">
        <f>"韦超"</f>
        <v>韦超</v>
      </c>
      <c r="C135" t="str">
        <f>"男        "</f>
        <v xml:space="preserve">男        </v>
      </c>
      <c r="D135" t="str">
        <f>"壮族"</f>
        <v>壮族</v>
      </c>
      <c r="E135" t="str">
        <f>"广西"</f>
        <v>广西</v>
      </c>
      <c r="F135" t="str">
        <f>"1991年05月"</f>
        <v>1991年05月</v>
      </c>
      <c r="G135" t="str">
        <f t="shared" si="38"/>
        <v>共青团员</v>
      </c>
      <c r="H135" t="str">
        <f>"广西教育学院音乐教育"</f>
        <v>广西教育学院音乐教育</v>
      </c>
      <c r="I135" t="str">
        <f>"音乐教育"</f>
        <v>音乐教育</v>
      </c>
      <c r="J135" t="str">
        <f>"专科无学位"</f>
        <v>专科无学位</v>
      </c>
      <c r="K135" t="str">
        <f t="shared" si="39"/>
        <v>百色市右江区</v>
      </c>
      <c r="L135" t="str">
        <f>"广西百色市隆林县克长乡河马村2队"</f>
        <v>广西百色市隆林县克长乡河马村2队</v>
      </c>
      <c r="M135" t="str">
        <f>""</f>
        <v/>
      </c>
      <c r="N135" t="str">
        <f>"2013.06.01"</f>
        <v>2013.06.01</v>
      </c>
      <c r="O135" t="str">
        <f>"是"</f>
        <v>是</v>
      </c>
      <c r="P135" t="str">
        <f>"3:初级中学"</f>
        <v>3:初级中学</v>
      </c>
      <c r="Q135" t="str">
        <f>"20134501231001602"</f>
        <v>20134501231001602</v>
      </c>
      <c r="R135" t="str">
        <f>"508701201306000743"</f>
        <v>508701201306000743</v>
      </c>
      <c r="S135" t="str">
        <f>"小学"</f>
        <v>小学</v>
      </c>
      <c r="T135" t="str">
        <f>"107:音乐"</f>
        <v>107:音乐</v>
      </c>
      <c r="U135" t="str">
        <f t="shared" si="40"/>
        <v>通过</v>
      </c>
    </row>
    <row r="136" spans="1:21" x14ac:dyDescent="0.15">
      <c r="A136" t="str">
        <f>"135"</f>
        <v>135</v>
      </c>
      <c r="B136" t="str">
        <f>"陆玄姿"</f>
        <v>陆玄姿</v>
      </c>
      <c r="C136" t="str">
        <f t="shared" ref="C136:C143" si="42">"女        "</f>
        <v xml:space="preserve">女        </v>
      </c>
      <c r="D136" t="str">
        <f>"壮族"</f>
        <v>壮族</v>
      </c>
      <c r="E136" t="str">
        <f>"广西百色市右江区"</f>
        <v>广西百色市右江区</v>
      </c>
      <c r="F136" t="str">
        <f>"1992年12月"</f>
        <v>1992年12月</v>
      </c>
      <c r="G136" t="str">
        <f>"中共党员"</f>
        <v>中共党员</v>
      </c>
      <c r="H136" t="str">
        <f>"百色学院音乐表演"</f>
        <v>百色学院音乐表演</v>
      </c>
      <c r="I136" t="str">
        <f>"音乐表演"</f>
        <v>音乐表演</v>
      </c>
      <c r="J136" t="str">
        <f t="shared" ref="J136:J142" si="43">"本科学士"</f>
        <v>本科学士</v>
      </c>
      <c r="K136" t="str">
        <f t="shared" si="39"/>
        <v>百色市右江区</v>
      </c>
      <c r="L136" t="str">
        <f>"广西百色市右江区阳圩镇华村村拉元屯"</f>
        <v>广西百色市右江区阳圩镇华村村拉元屯</v>
      </c>
      <c r="M136" t="str">
        <f>"2015.09.01"</f>
        <v>2015.09.01</v>
      </c>
      <c r="N136" t="str">
        <f>"2015.06.01"</f>
        <v>2015.06.01</v>
      </c>
      <c r="O136" t="str">
        <f>"不是"</f>
        <v>不是</v>
      </c>
      <c r="P136" t="str">
        <f>"4:高级中学"</f>
        <v>4:高级中学</v>
      </c>
      <c r="Q136" t="str">
        <f>"2016454015424"</f>
        <v>2016454015424</v>
      </c>
      <c r="R136" t="str">
        <f>"106091201505001057"</f>
        <v>106091201505001057</v>
      </c>
      <c r="S136" t="str">
        <f>"小学"</f>
        <v>小学</v>
      </c>
      <c r="T136" t="str">
        <f>"107:音乐"</f>
        <v>107:音乐</v>
      </c>
      <c r="U136" t="str">
        <f t="shared" si="40"/>
        <v>通过</v>
      </c>
    </row>
    <row r="137" spans="1:21" x14ac:dyDescent="0.15">
      <c r="A137" t="str">
        <f>"136"</f>
        <v>136</v>
      </c>
      <c r="B137" t="str">
        <f>"李萱"</f>
        <v>李萱</v>
      </c>
      <c r="C137" t="str">
        <f t="shared" si="42"/>
        <v xml:space="preserve">女        </v>
      </c>
      <c r="D137" t="str">
        <f>"汉族"</f>
        <v>汉族</v>
      </c>
      <c r="E137" t="str">
        <f>"广西百色"</f>
        <v>广西百色</v>
      </c>
      <c r="F137" t="str">
        <f>"1991年10月"</f>
        <v>1991年10月</v>
      </c>
      <c r="G137" t="str">
        <f>"群众"</f>
        <v>群众</v>
      </c>
      <c r="H137" t="str">
        <f>"广西民族大学体育教育"</f>
        <v>广西民族大学体育教育</v>
      </c>
      <c r="I137" t="str">
        <f>"体育教育"</f>
        <v>体育教育</v>
      </c>
      <c r="J137" t="str">
        <f t="shared" si="43"/>
        <v>本科学士</v>
      </c>
      <c r="K137" t="str">
        <f t="shared" si="39"/>
        <v>百色市右江区</v>
      </c>
      <c r="L137" t="str">
        <f>"广西百色市欧景花园18栋532"</f>
        <v>广西百色市欧景花园18栋532</v>
      </c>
      <c r="M137" t="str">
        <f>"2014.07.01"</f>
        <v>2014.07.01</v>
      </c>
      <c r="N137" t="str">
        <f>"2014.06.01"</f>
        <v>2014.06.01</v>
      </c>
      <c r="O137" t="str">
        <f>"是"</f>
        <v>是</v>
      </c>
      <c r="P137" t="str">
        <f>"4:高级中学"</f>
        <v>4:高级中学</v>
      </c>
      <c r="Q137" t="str">
        <f>"20144501042001721"</f>
        <v>20144501042001721</v>
      </c>
      <c r="R137" t="str">
        <f>"106081201405002448"</f>
        <v>106081201405002448</v>
      </c>
      <c r="S137" t="str">
        <f>"小学"</f>
        <v>小学</v>
      </c>
      <c r="T137" t="str">
        <f>"106:体育"</f>
        <v>106:体育</v>
      </c>
      <c r="U137" t="str">
        <f t="shared" si="40"/>
        <v>通过</v>
      </c>
    </row>
    <row r="138" spans="1:21" x14ac:dyDescent="0.15">
      <c r="A138" t="str">
        <f>"137"</f>
        <v>137</v>
      </c>
      <c r="B138" t="str">
        <f>"黄悦"</f>
        <v>黄悦</v>
      </c>
      <c r="C138" t="str">
        <f t="shared" si="42"/>
        <v xml:space="preserve">女        </v>
      </c>
      <c r="D138" t="str">
        <f>"汉族"</f>
        <v>汉族</v>
      </c>
      <c r="E138" t="str">
        <f>"广西田东县"</f>
        <v>广西田东县</v>
      </c>
      <c r="F138" t="str">
        <f>"1993年10月"</f>
        <v>1993年10月</v>
      </c>
      <c r="G138" t="str">
        <f>"共青团员"</f>
        <v>共青团员</v>
      </c>
      <c r="H138" t="str">
        <f>"广西民族大学历史学"</f>
        <v>广西民族大学历史学</v>
      </c>
      <c r="I138" t="str">
        <f>"历史学"</f>
        <v>历史学</v>
      </c>
      <c r="J138" t="str">
        <f t="shared" si="43"/>
        <v>本科学士</v>
      </c>
      <c r="K138" t="str">
        <f t="shared" si="39"/>
        <v>百色市右江区</v>
      </c>
      <c r="L138" t="str">
        <f>"广西百色市田东县平马镇四平村兴平屯8组85号"</f>
        <v>广西百色市田东县平马镇四平村兴平屯8组85号</v>
      </c>
      <c r="M138" t="str">
        <f>"2017.05.01"</f>
        <v>2017.05.01</v>
      </c>
      <c r="N138" t="str">
        <f>"2017.06.01"</f>
        <v>2017.06.01</v>
      </c>
      <c r="O138" t="str">
        <f>"是"</f>
        <v>是</v>
      </c>
      <c r="P138" t="str">
        <f>"4:高级中学"</f>
        <v>4:高级中学</v>
      </c>
      <c r="Q138" t="str">
        <f>"暂无"</f>
        <v>暂无</v>
      </c>
      <c r="R138" t="str">
        <f>"暂无"</f>
        <v>暂无</v>
      </c>
      <c r="S138" t="str">
        <f>"初中"</f>
        <v>初中</v>
      </c>
      <c r="T138" t="str">
        <f>"206:历史"</f>
        <v>206:历史</v>
      </c>
      <c r="U138" t="str">
        <f t="shared" si="40"/>
        <v>通过</v>
      </c>
    </row>
    <row r="139" spans="1:21" x14ac:dyDescent="0.15">
      <c r="A139" t="str">
        <f>"138"</f>
        <v>138</v>
      </c>
      <c r="B139" t="str">
        <f>"农郁贤"</f>
        <v>农郁贤</v>
      </c>
      <c r="C139" t="str">
        <f t="shared" si="42"/>
        <v xml:space="preserve">女        </v>
      </c>
      <c r="D139" t="str">
        <f>"壮族"</f>
        <v>壮族</v>
      </c>
      <c r="E139" t="str">
        <f>"广西百色西林"</f>
        <v>广西百色西林</v>
      </c>
      <c r="F139" t="str">
        <f>"1995年06月"</f>
        <v>1995年06月</v>
      </c>
      <c r="G139" t="str">
        <f>"共青团员"</f>
        <v>共青团员</v>
      </c>
      <c r="H139" t="str">
        <f>"百色学院体育教育"</f>
        <v>百色学院体育教育</v>
      </c>
      <c r="I139" t="str">
        <f>"体育教育"</f>
        <v>体育教育</v>
      </c>
      <c r="J139" t="str">
        <f t="shared" si="43"/>
        <v>本科学士</v>
      </c>
      <c r="K139" t="str">
        <f t="shared" si="39"/>
        <v>百色市右江区</v>
      </c>
      <c r="L139" t="str">
        <f>"广西百色市西林县那佐乡那佐村内仁屯002号"</f>
        <v>广西百色市西林县那佐乡那佐村内仁屯002号</v>
      </c>
      <c r="M139" t="str">
        <f>"2017.03.01"</f>
        <v>2017.03.01</v>
      </c>
      <c r="N139" t="str">
        <f>"2017.07.01"</f>
        <v>2017.07.01</v>
      </c>
      <c r="O139" t="str">
        <f>"是"</f>
        <v>是</v>
      </c>
      <c r="P139" t="str">
        <f>"0:暂未取得"</f>
        <v>0:暂未取得</v>
      </c>
      <c r="Q139" t="str">
        <f>"2017届毕业生填暂无"</f>
        <v>2017届毕业生填暂无</v>
      </c>
      <c r="R139" t="str">
        <f>"2017届毕业生填暂无"</f>
        <v>2017届毕业生填暂无</v>
      </c>
      <c r="S139" t="str">
        <f>"初中"</f>
        <v>初中</v>
      </c>
      <c r="T139" t="str">
        <f>"212:体育"</f>
        <v>212:体育</v>
      </c>
      <c r="U139" t="str">
        <f t="shared" si="40"/>
        <v>通过</v>
      </c>
    </row>
    <row r="140" spans="1:21" x14ac:dyDescent="0.15">
      <c r="A140" t="str">
        <f>"139"</f>
        <v>139</v>
      </c>
      <c r="B140" t="str">
        <f>"梁静"</f>
        <v>梁静</v>
      </c>
      <c r="C140" t="str">
        <f t="shared" si="42"/>
        <v xml:space="preserve">女        </v>
      </c>
      <c r="D140" t="str">
        <f>"壮族"</f>
        <v>壮族</v>
      </c>
      <c r="E140" t="str">
        <f>"广西靖西"</f>
        <v>广西靖西</v>
      </c>
      <c r="F140" t="str">
        <f>"1988年02月"</f>
        <v>1988年02月</v>
      </c>
      <c r="G140" t="str">
        <f>"中共党员"</f>
        <v>中共党员</v>
      </c>
      <c r="H140" t="str">
        <f>"中国计量学院生物医学工程"</f>
        <v>中国计量学院生物医学工程</v>
      </c>
      <c r="I140" t="str">
        <f>"生物医学工程"</f>
        <v>生物医学工程</v>
      </c>
      <c r="J140" t="str">
        <f t="shared" si="43"/>
        <v>本科学士</v>
      </c>
      <c r="K140" t="str">
        <f t="shared" si="39"/>
        <v>百色市右江区</v>
      </c>
      <c r="L140" t="str">
        <f>"百色市右江区文明街永安巷61号"</f>
        <v>百色市右江区文明街永安巷61号</v>
      </c>
      <c r="M140" t="str">
        <f>"2011.07.01"</f>
        <v>2011.07.01</v>
      </c>
      <c r="N140" t="str">
        <f>"2011.06.01"</f>
        <v>2011.06.01</v>
      </c>
      <c r="O140" t="str">
        <f>"不是"</f>
        <v>不是</v>
      </c>
      <c r="P140" t="str">
        <f>"4:高级中学"</f>
        <v>4:高级中学</v>
      </c>
      <c r="Q140" t="str">
        <f>"有，正在认证"</f>
        <v>有，正在认证</v>
      </c>
      <c r="R140" t="str">
        <f>"103561201105000876"</f>
        <v>103561201105000876</v>
      </c>
      <c r="S140" t="str">
        <f>"初中"</f>
        <v>初中</v>
      </c>
      <c r="T140" t="str">
        <f>"209:生物"</f>
        <v>209:生物</v>
      </c>
      <c r="U140" t="str">
        <f t="shared" si="40"/>
        <v>通过</v>
      </c>
    </row>
    <row r="141" spans="1:21" x14ac:dyDescent="0.15">
      <c r="A141" t="str">
        <f>"140"</f>
        <v>140</v>
      </c>
      <c r="B141" t="str">
        <f>"蒋凤群"</f>
        <v>蒋凤群</v>
      </c>
      <c r="C141" t="str">
        <f t="shared" si="42"/>
        <v xml:space="preserve">女        </v>
      </c>
      <c r="D141" t="str">
        <f>"壮族"</f>
        <v>壮族</v>
      </c>
      <c r="E141" t="str">
        <f>"广西平果县"</f>
        <v>广西平果县</v>
      </c>
      <c r="F141" t="str">
        <f>"1993年08月"</f>
        <v>1993年08月</v>
      </c>
      <c r="G141" t="str">
        <f>"共青团员"</f>
        <v>共青团员</v>
      </c>
      <c r="H141" t="str">
        <f>"河池学院历史学"</f>
        <v>河池学院历史学</v>
      </c>
      <c r="I141" t="str">
        <f>"历史学"</f>
        <v>历史学</v>
      </c>
      <c r="J141" t="str">
        <f t="shared" si="43"/>
        <v>本科学士</v>
      </c>
      <c r="K141" t="str">
        <f t="shared" si="39"/>
        <v>百色市右江区</v>
      </c>
      <c r="L141" t="str">
        <f>"广西百色市平果县新安镇那劳村下那劳屯39号"</f>
        <v>广西百色市平果县新安镇那劳村下那劳屯39号</v>
      </c>
      <c r="M141" t="str">
        <f>""</f>
        <v/>
      </c>
      <c r="N141" t="str">
        <f>"2017.06.01"</f>
        <v>2017.06.01</v>
      </c>
      <c r="O141" t="str">
        <f>"不是"</f>
        <v>不是</v>
      </c>
      <c r="P141" t="str">
        <f>"4:高级中学"</f>
        <v>4:高级中学</v>
      </c>
      <c r="Q141" t="str">
        <f>"2017届毕业生填暂无"</f>
        <v>2017届毕业生填暂无</v>
      </c>
      <c r="R141" t="str">
        <f>"2017届毕业生填暂无"</f>
        <v>2017届毕业生填暂无</v>
      </c>
      <c r="S141" t="str">
        <f>"初中"</f>
        <v>初中</v>
      </c>
      <c r="T141" t="str">
        <f>"206:历史"</f>
        <v>206:历史</v>
      </c>
      <c r="U141" t="str">
        <f t="shared" si="40"/>
        <v>通过</v>
      </c>
    </row>
    <row r="142" spans="1:21" x14ac:dyDescent="0.15">
      <c r="A142" t="str">
        <f>"141"</f>
        <v>141</v>
      </c>
      <c r="B142" t="str">
        <f>"温佑香"</f>
        <v>温佑香</v>
      </c>
      <c r="C142" t="str">
        <f t="shared" si="42"/>
        <v xml:space="preserve">女        </v>
      </c>
      <c r="D142" t="str">
        <f>"汉族"</f>
        <v>汉族</v>
      </c>
      <c r="E142" t="str">
        <f>"广西桂林临桂县"</f>
        <v>广西桂林临桂县</v>
      </c>
      <c r="F142" t="str">
        <f>"1993年05月"</f>
        <v>1993年05月</v>
      </c>
      <c r="G142" t="str">
        <f>"共青团员"</f>
        <v>共青团员</v>
      </c>
      <c r="H142" t="str">
        <f>"百色学院生物技术"</f>
        <v>百色学院生物技术</v>
      </c>
      <c r="I142" t="str">
        <f>"生物技术"</f>
        <v>生物技术</v>
      </c>
      <c r="J142" t="str">
        <f t="shared" si="43"/>
        <v>本科学士</v>
      </c>
      <c r="K142" t="str">
        <f t="shared" si="39"/>
        <v>百色市右江区</v>
      </c>
      <c r="L142" t="str">
        <f>"广西桂林临桂县会仙镇四益村委马皇村2-1号"</f>
        <v>广西桂林临桂县会仙镇四益村委马皇村2-1号</v>
      </c>
      <c r="M142" t="str">
        <f>"2017.03.01"</f>
        <v>2017.03.01</v>
      </c>
      <c r="N142" t="str">
        <f>"2017.06.01"</f>
        <v>2017.06.01</v>
      </c>
      <c r="O142" t="str">
        <f>"不是"</f>
        <v>不是</v>
      </c>
      <c r="P142" t="str">
        <f>"0:暂未取得"</f>
        <v>0:暂未取得</v>
      </c>
      <c r="Q142" t="str">
        <f>"2017届毕业生填暂无"</f>
        <v>2017届毕业生填暂无</v>
      </c>
      <c r="R142" t="str">
        <f>"2017届毕业生填暂无"</f>
        <v>2017届毕业生填暂无</v>
      </c>
      <c r="S142" t="str">
        <f>"初中"</f>
        <v>初中</v>
      </c>
      <c r="T142" t="str">
        <f>"209:生物"</f>
        <v>209:生物</v>
      </c>
      <c r="U142" t="str">
        <f t="shared" si="40"/>
        <v>通过</v>
      </c>
    </row>
    <row r="143" spans="1:21" x14ac:dyDescent="0.15">
      <c r="A143" t="str">
        <f>"142"</f>
        <v>142</v>
      </c>
      <c r="B143" t="str">
        <f>"黄玉"</f>
        <v>黄玉</v>
      </c>
      <c r="C143" t="str">
        <f t="shared" si="42"/>
        <v xml:space="preserve">女        </v>
      </c>
      <c r="D143" t="str">
        <f>"壮族"</f>
        <v>壮族</v>
      </c>
      <c r="E143" t="str">
        <f>"广西百色市"</f>
        <v>广西百色市</v>
      </c>
      <c r="F143" t="str">
        <f>"1994年08月"</f>
        <v>1994年08月</v>
      </c>
      <c r="G143" t="str">
        <f>"共青团员"</f>
        <v>共青团员</v>
      </c>
      <c r="H143" t="str">
        <f>"百色学院综合文科教育"</f>
        <v>百色学院综合文科教育</v>
      </c>
      <c r="I143" t="str">
        <f>"综合文科教育"</f>
        <v>综合文科教育</v>
      </c>
      <c r="J143" t="str">
        <f>"专科无学位"</f>
        <v>专科无学位</v>
      </c>
      <c r="K143" t="str">
        <f t="shared" si="39"/>
        <v>百色市右江区</v>
      </c>
      <c r="L143" t="str">
        <f>"广西百色市右江区龙川镇集合村六爱屯18号"</f>
        <v>广西百色市右江区龙川镇集合村六爱屯18号</v>
      </c>
      <c r="M143" t="str">
        <f>"2016.09.01"</f>
        <v>2016.09.01</v>
      </c>
      <c r="N143" t="str">
        <f>"2017.07.01"</f>
        <v>2017.07.01</v>
      </c>
      <c r="O143" t="str">
        <f>"是"</f>
        <v>是</v>
      </c>
      <c r="P143" t="str">
        <f>"2:小学"</f>
        <v>2:小学</v>
      </c>
      <c r="Q143" t="str">
        <f>"暂无"</f>
        <v>暂无</v>
      </c>
      <c r="R143" t="str">
        <f>"暂无"</f>
        <v>暂无</v>
      </c>
      <c r="S143" t="str">
        <f>"小学"</f>
        <v>小学</v>
      </c>
      <c r="T143" t="str">
        <f>"102:语文"</f>
        <v>102:语文</v>
      </c>
      <c r="U143" t="str">
        <f t="shared" si="40"/>
        <v>通过</v>
      </c>
    </row>
    <row r="144" spans="1:21" x14ac:dyDescent="0.15">
      <c r="A144" t="str">
        <f>"143"</f>
        <v>143</v>
      </c>
      <c r="B144" t="str">
        <f>"苏觊恺"</f>
        <v>苏觊恺</v>
      </c>
      <c r="C144" t="str">
        <f>"男        "</f>
        <v xml:space="preserve">男        </v>
      </c>
      <c r="D144" t="str">
        <f>"壮族"</f>
        <v>壮族</v>
      </c>
      <c r="E144" t="str">
        <f>"广西百色右江区"</f>
        <v>广西百色右江区</v>
      </c>
      <c r="F144" t="str">
        <f>"1996年02月"</f>
        <v>1996年02月</v>
      </c>
      <c r="G144" t="str">
        <f>"共青团员"</f>
        <v>共青团员</v>
      </c>
      <c r="H144" t="str">
        <f>"百色学院小学教育"</f>
        <v>百色学院小学教育</v>
      </c>
      <c r="I144" t="str">
        <f>"小学教育"</f>
        <v>小学教育</v>
      </c>
      <c r="J144" t="str">
        <f>"专科无学位"</f>
        <v>专科无学位</v>
      </c>
      <c r="K144" t="str">
        <f t="shared" si="39"/>
        <v>百色市右江区</v>
      </c>
      <c r="L144" t="str">
        <f>"百色市右江区中城丽景"</f>
        <v>百色市右江区中城丽景</v>
      </c>
      <c r="M144" t="str">
        <f>"2017.02.01"</f>
        <v>2017.02.01</v>
      </c>
      <c r="N144" t="str">
        <f>"2017.06.01"</f>
        <v>2017.06.01</v>
      </c>
      <c r="O144" t="str">
        <f>"是"</f>
        <v>是</v>
      </c>
      <c r="P144" t="str">
        <f>"0:暂未取得"</f>
        <v>0:暂未取得</v>
      </c>
      <c r="Q144" t="str">
        <f>"暂无"</f>
        <v>暂无</v>
      </c>
      <c r="R144" t="str">
        <f>"暂无"</f>
        <v>暂无</v>
      </c>
      <c r="S144" t="str">
        <f>"小学"</f>
        <v>小学</v>
      </c>
      <c r="T144" t="str">
        <f>"103:数学"</f>
        <v>103:数学</v>
      </c>
      <c r="U144" t="str">
        <f t="shared" si="40"/>
        <v>通过</v>
      </c>
    </row>
    <row r="145" spans="1:21" x14ac:dyDescent="0.15">
      <c r="A145" t="str">
        <f>"144"</f>
        <v>144</v>
      </c>
      <c r="B145" t="str">
        <f>"陶宴潆"</f>
        <v>陶宴潆</v>
      </c>
      <c r="C145" t="str">
        <f>"女        "</f>
        <v xml:space="preserve">女        </v>
      </c>
      <c r="D145" t="str">
        <f>"壮族"</f>
        <v>壮族</v>
      </c>
      <c r="E145" t="str">
        <f>"广西西林县"</f>
        <v>广西西林县</v>
      </c>
      <c r="F145" t="str">
        <f>"1989年02月"</f>
        <v>1989年02月</v>
      </c>
      <c r="G145" t="str">
        <f>"群众"</f>
        <v>群众</v>
      </c>
      <c r="H145" t="str">
        <f>"玉林师范学院汉语言文学"</f>
        <v>玉林师范学院汉语言文学</v>
      </c>
      <c r="I145" t="str">
        <f>"汉语言文学"</f>
        <v>汉语言文学</v>
      </c>
      <c r="J145" t="str">
        <f>"本科学士"</f>
        <v>本科学士</v>
      </c>
      <c r="K145" t="str">
        <f t="shared" si="39"/>
        <v>百色市右江区</v>
      </c>
      <c r="L145" t="str">
        <f>"广西百色市西林县马蚌镇火把村火把屯"</f>
        <v>广西百色市西林县马蚌镇火把村火把屯</v>
      </c>
      <c r="M145" t="str">
        <f>"2014.09.01"</f>
        <v>2014.09.01</v>
      </c>
      <c r="N145" t="str">
        <f>"2014.06.01"</f>
        <v>2014.06.01</v>
      </c>
      <c r="O145" t="str">
        <f>"是"</f>
        <v>是</v>
      </c>
      <c r="P145" t="str">
        <f>"4:高级中学"</f>
        <v>4:高级中学</v>
      </c>
      <c r="Q145" t="str">
        <f>"20144550042001067"</f>
        <v>20144550042001067</v>
      </c>
      <c r="R145" t="str">
        <f>"106061201405000184"</f>
        <v>106061201405000184</v>
      </c>
      <c r="S145" t="str">
        <f>"小学"</f>
        <v>小学</v>
      </c>
      <c r="T145" t="str">
        <f>"102:语文"</f>
        <v>102:语文</v>
      </c>
      <c r="U145" t="str">
        <f t="shared" si="40"/>
        <v>通过</v>
      </c>
    </row>
    <row r="146" spans="1:21" x14ac:dyDescent="0.15">
      <c r="A146" t="str">
        <f>"145"</f>
        <v>145</v>
      </c>
      <c r="B146" t="str">
        <f>"罗小凤"</f>
        <v>罗小凤</v>
      </c>
      <c r="C146" t="str">
        <f>"女        "</f>
        <v xml:space="preserve">女        </v>
      </c>
      <c r="D146" t="str">
        <f>"汉族"</f>
        <v>汉族</v>
      </c>
      <c r="E146" t="str">
        <f>"广西南宁"</f>
        <v>广西南宁</v>
      </c>
      <c r="F146" t="str">
        <f>"1993年01月"</f>
        <v>1993年01月</v>
      </c>
      <c r="G146" t="str">
        <f>"共青团员"</f>
        <v>共青团员</v>
      </c>
      <c r="H146" t="str">
        <f>"百色学院人文教育"</f>
        <v>百色学院人文教育</v>
      </c>
      <c r="I146" t="str">
        <f>"人文教育"</f>
        <v>人文教育</v>
      </c>
      <c r="J146" t="str">
        <f>"本科学士"</f>
        <v>本科学士</v>
      </c>
      <c r="K146" t="str">
        <f t="shared" si="39"/>
        <v>百色市右江区</v>
      </c>
      <c r="L146" t="str">
        <f>"广西宾阳县宾州镇呇塘村委会呇塘村192号"</f>
        <v>广西宾阳县宾州镇呇塘村委会呇塘村192号</v>
      </c>
      <c r="M146" t="str">
        <f>""</f>
        <v/>
      </c>
      <c r="N146" t="str">
        <f>"2017.06.01"</f>
        <v>2017.06.01</v>
      </c>
      <c r="O146" t="str">
        <f>"是"</f>
        <v>是</v>
      </c>
      <c r="P146" t="str">
        <f>"4:高级中学"</f>
        <v>4:高级中学</v>
      </c>
      <c r="Q146" t="str">
        <f>"2017届毕业生填暂无"</f>
        <v>2017届毕业生填暂无</v>
      </c>
      <c r="R146" t="str">
        <f>"2017届毕业生填暂无"</f>
        <v>2017届毕业生填暂无</v>
      </c>
      <c r="S146" t="str">
        <f>"初中"</f>
        <v>初中</v>
      </c>
      <c r="T146" t="str">
        <f>"207:地理"</f>
        <v>207:地理</v>
      </c>
      <c r="U146" t="str">
        <f t="shared" si="40"/>
        <v>通过</v>
      </c>
    </row>
    <row r="147" spans="1:21" x14ac:dyDescent="0.15">
      <c r="A147" t="str">
        <f>"146"</f>
        <v>146</v>
      </c>
      <c r="B147" t="str">
        <f>"卢建国"</f>
        <v>卢建国</v>
      </c>
      <c r="C147" t="str">
        <f>"男        "</f>
        <v xml:space="preserve">男        </v>
      </c>
      <c r="D147" t="str">
        <f>"壮族"</f>
        <v>壮族</v>
      </c>
      <c r="E147" t="str">
        <f>"广西"</f>
        <v>广西</v>
      </c>
      <c r="F147" t="str">
        <f>"1994年04月"</f>
        <v>1994年04月</v>
      </c>
      <c r="G147" t="str">
        <f>"共青团员"</f>
        <v>共青团员</v>
      </c>
      <c r="H147" t="str">
        <f>"广西师范学院师园学院体育教育"</f>
        <v>广西师范学院师园学院体育教育</v>
      </c>
      <c r="I147" t="str">
        <f>"体育教育"</f>
        <v>体育教育</v>
      </c>
      <c r="J147" t="str">
        <f>"本科无学位"</f>
        <v>本科无学位</v>
      </c>
      <c r="K147" t="str">
        <f t="shared" si="39"/>
        <v>百色市右江区</v>
      </c>
      <c r="L147" t="str">
        <f>"广西百色市田东县平马镇油城路138号"</f>
        <v>广西百色市田东县平马镇油城路138号</v>
      </c>
      <c r="M147" t="str">
        <f>"2016.09.01"</f>
        <v>2016.09.01</v>
      </c>
      <c r="N147" t="str">
        <f>"2017.06.01"</f>
        <v>2017.06.01</v>
      </c>
      <c r="O147" t="str">
        <f>"是"</f>
        <v>是</v>
      </c>
      <c r="P147" t="str">
        <f>"0:暂未取得"</f>
        <v>0:暂未取得</v>
      </c>
      <c r="Q147" t="str">
        <f>"2017届毕业生填暂无"</f>
        <v>2017届毕业生填暂无</v>
      </c>
      <c r="R147" t="str">
        <f>"2017届毕业生填暂无"</f>
        <v>2017届毕业生填暂无</v>
      </c>
      <c r="S147" t="str">
        <f>"小学"</f>
        <v>小学</v>
      </c>
      <c r="T147" t="str">
        <f>"106:体育"</f>
        <v>106:体育</v>
      </c>
      <c r="U147" t="str">
        <f t="shared" si="40"/>
        <v>通过</v>
      </c>
    </row>
    <row r="148" spans="1:21" x14ac:dyDescent="0.15">
      <c r="A148" t="str">
        <f>"147"</f>
        <v>147</v>
      </c>
      <c r="B148" t="str">
        <f>"岑麦运"</f>
        <v>岑麦运</v>
      </c>
      <c r="C148" t="str">
        <f>"女        "</f>
        <v xml:space="preserve">女        </v>
      </c>
      <c r="D148" t="str">
        <f>"布依族"</f>
        <v>布依族</v>
      </c>
      <c r="E148" t="str">
        <f>"贵州"</f>
        <v>贵州</v>
      </c>
      <c r="F148" t="str">
        <f>"1991年08月"</f>
        <v>1991年08月</v>
      </c>
      <c r="G148" t="str">
        <f>"共青团员"</f>
        <v>共青团员</v>
      </c>
      <c r="H148" t="str">
        <f>"百色学院艺术设计"</f>
        <v>百色学院艺术设计</v>
      </c>
      <c r="I148" t="str">
        <f>"艺术设计"</f>
        <v>艺术设计</v>
      </c>
      <c r="J148" t="str">
        <f t="shared" ref="J148:J153" si="44">"本科学士"</f>
        <v>本科学士</v>
      </c>
      <c r="K148" t="str">
        <f t="shared" si="39"/>
        <v>百色市右江区</v>
      </c>
      <c r="L148" t="str">
        <f>"贵州省三都县周覃镇"</f>
        <v>贵州省三都县周覃镇</v>
      </c>
      <c r="M148" t="str">
        <f>"2015.07.01"</f>
        <v>2015.07.01</v>
      </c>
      <c r="N148" t="str">
        <f>"2015.07.01"</f>
        <v>2015.07.01</v>
      </c>
      <c r="O148" t="str">
        <f>"不是"</f>
        <v>不是</v>
      </c>
      <c r="P148" t="str">
        <f>"4:高级中学"</f>
        <v>4:高级中学</v>
      </c>
      <c r="Q148" t="str">
        <f>"正在办理中"</f>
        <v>正在办理中</v>
      </c>
      <c r="R148" t="str">
        <f>"106091201505001523"</f>
        <v>106091201505001523</v>
      </c>
      <c r="S148" t="str">
        <f>"小学"</f>
        <v>小学</v>
      </c>
      <c r="T148" t="str">
        <f>"108:美术"</f>
        <v>108:美术</v>
      </c>
      <c r="U148" t="str">
        <f t="shared" si="40"/>
        <v>通过</v>
      </c>
    </row>
    <row r="149" spans="1:21" x14ac:dyDescent="0.15">
      <c r="A149" t="str">
        <f>"148"</f>
        <v>148</v>
      </c>
      <c r="B149" t="str">
        <f>"赵国荣"</f>
        <v>赵国荣</v>
      </c>
      <c r="C149" t="str">
        <f>"男        "</f>
        <v xml:space="preserve">男        </v>
      </c>
      <c r="D149" t="str">
        <f>"壮族"</f>
        <v>壮族</v>
      </c>
      <c r="E149" t="str">
        <f>"广西百色"</f>
        <v>广西百色</v>
      </c>
      <c r="F149" t="str">
        <f>"1993年09月"</f>
        <v>1993年09月</v>
      </c>
      <c r="G149" t="str">
        <f>"共青团员"</f>
        <v>共青团员</v>
      </c>
      <c r="H149" t="str">
        <f>"广西师范大学漓江学院体育教育"</f>
        <v>广西师范大学漓江学院体育教育</v>
      </c>
      <c r="I149" t="str">
        <f>"体育教育"</f>
        <v>体育教育</v>
      </c>
      <c r="J149" t="str">
        <f t="shared" si="44"/>
        <v>本科学士</v>
      </c>
      <c r="K149" t="str">
        <f t="shared" si="39"/>
        <v>百色市右江区</v>
      </c>
      <c r="L149" t="str">
        <f>"广西百色市右江区东笋路电信小区"</f>
        <v>广西百色市右江区东笋路电信小区</v>
      </c>
      <c r="M149" t="str">
        <f>""</f>
        <v/>
      </c>
      <c r="N149" t="str">
        <f>"2017.06.01"</f>
        <v>2017.06.01</v>
      </c>
      <c r="O149" t="str">
        <f>"是"</f>
        <v>是</v>
      </c>
      <c r="P149" t="str">
        <f>"0:暂未取得"</f>
        <v>0:暂未取得</v>
      </c>
      <c r="Q149" t="str">
        <f>"暂无"</f>
        <v>暂无</v>
      </c>
      <c r="R149" t="str">
        <f>"暂无"</f>
        <v>暂无</v>
      </c>
      <c r="S149" t="str">
        <f>"初中"</f>
        <v>初中</v>
      </c>
      <c r="T149" t="str">
        <f>"212:体育"</f>
        <v>212:体育</v>
      </c>
      <c r="U149" t="str">
        <f t="shared" si="40"/>
        <v>通过</v>
      </c>
    </row>
    <row r="150" spans="1:21" x14ac:dyDescent="0.15">
      <c r="A150" t="str">
        <f>"149"</f>
        <v>149</v>
      </c>
      <c r="B150" t="str">
        <f>"蓝苑萍"</f>
        <v>蓝苑萍</v>
      </c>
      <c r="C150" t="str">
        <f>"女        "</f>
        <v xml:space="preserve">女        </v>
      </c>
      <c r="D150" t="str">
        <f>"壮族"</f>
        <v>壮族</v>
      </c>
      <c r="E150" t="str">
        <f>"广西来宾市忻城县"</f>
        <v>广西来宾市忻城县</v>
      </c>
      <c r="F150" t="str">
        <f>"1994年03月"</f>
        <v>1994年03月</v>
      </c>
      <c r="G150" t="str">
        <f>"共青团员"</f>
        <v>共青团员</v>
      </c>
      <c r="H150" t="str">
        <f>"百色学院政治与公共事务管理学院人文教育"</f>
        <v>百色学院政治与公共事务管理学院人文教育</v>
      </c>
      <c r="I150" t="str">
        <f>"人文教育"</f>
        <v>人文教育</v>
      </c>
      <c r="J150" t="str">
        <f t="shared" si="44"/>
        <v>本科学士</v>
      </c>
      <c r="K150" t="str">
        <f t="shared" si="39"/>
        <v>百色市右江区</v>
      </c>
      <c r="L150" t="str">
        <f>"广西来宾市忻城县遂意乡加龙村古光屯"</f>
        <v>广西来宾市忻城县遂意乡加龙村古光屯</v>
      </c>
      <c r="M150" t="str">
        <f>"2017.02.01"</f>
        <v>2017.02.01</v>
      </c>
      <c r="N150" t="str">
        <f>"2017.07.01"</f>
        <v>2017.07.01</v>
      </c>
      <c r="O150" t="str">
        <f>"是"</f>
        <v>是</v>
      </c>
      <c r="P150" t="str">
        <f>"4:高级中学"</f>
        <v>4:高级中学</v>
      </c>
      <c r="Q150" t="str">
        <f>"暂无"</f>
        <v>暂无</v>
      </c>
      <c r="R150" t="str">
        <f>"暂无"</f>
        <v>暂无</v>
      </c>
      <c r="S150" t="str">
        <f>"初中"</f>
        <v>初中</v>
      </c>
      <c r="T150" t="str">
        <f>"206:历史"</f>
        <v>206:历史</v>
      </c>
      <c r="U150" t="str">
        <f t="shared" si="40"/>
        <v>通过</v>
      </c>
    </row>
    <row r="151" spans="1:21" x14ac:dyDescent="0.15">
      <c r="A151" t="str">
        <f>"150"</f>
        <v>150</v>
      </c>
      <c r="B151" t="str">
        <f>"李芳"</f>
        <v>李芳</v>
      </c>
      <c r="C151" t="str">
        <f>"女        "</f>
        <v xml:space="preserve">女        </v>
      </c>
      <c r="D151" t="str">
        <f>"汉族"</f>
        <v>汉族</v>
      </c>
      <c r="E151" t="str">
        <f>"广西宾阳"</f>
        <v>广西宾阳</v>
      </c>
      <c r="F151" t="str">
        <f>"1993年11月"</f>
        <v>1993年11月</v>
      </c>
      <c r="G151" t="str">
        <f>"中共党员"</f>
        <v>中共党员</v>
      </c>
      <c r="H151" t="str">
        <f>"百色学院旅游管理"</f>
        <v>百色学院旅游管理</v>
      </c>
      <c r="I151" t="str">
        <f>"旅游管理"</f>
        <v>旅游管理</v>
      </c>
      <c r="J151" t="str">
        <f t="shared" si="44"/>
        <v>本科学士</v>
      </c>
      <c r="K151" t="str">
        <f t="shared" si="39"/>
        <v>百色市右江区</v>
      </c>
      <c r="L151" t="str">
        <f>"广西宾阳县宾州镇城中区东五里16号"</f>
        <v>广西宾阳县宾州镇城中区东五里16号</v>
      </c>
      <c r="M151" t="str">
        <f>""</f>
        <v/>
      </c>
      <c r="N151" t="str">
        <f>"2017.06.01"</f>
        <v>2017.06.01</v>
      </c>
      <c r="O151" t="str">
        <f>"不是"</f>
        <v>不是</v>
      </c>
      <c r="P151" t="str">
        <f>"0:暂未取得"</f>
        <v>0:暂未取得</v>
      </c>
      <c r="Q151" t="str">
        <f>"2017届毕业生填暂无"</f>
        <v>2017届毕业生填暂无</v>
      </c>
      <c r="R151" t="str">
        <f>"2017届毕业生填暂无"</f>
        <v>2017届毕业生填暂无</v>
      </c>
      <c r="S151" t="str">
        <f>"小学"</f>
        <v>小学</v>
      </c>
      <c r="T151" t="str">
        <f>"102:语文"</f>
        <v>102:语文</v>
      </c>
      <c r="U151" t="str">
        <f t="shared" si="40"/>
        <v>通过</v>
      </c>
    </row>
    <row r="152" spans="1:21" x14ac:dyDescent="0.15">
      <c r="A152" t="str">
        <f>"151"</f>
        <v>151</v>
      </c>
      <c r="B152" t="str">
        <f>"韦妹"</f>
        <v>韦妹</v>
      </c>
      <c r="C152" t="str">
        <f>"女        "</f>
        <v xml:space="preserve">女        </v>
      </c>
      <c r="D152" t="str">
        <f>"壮族"</f>
        <v>壮族</v>
      </c>
      <c r="E152" t="str">
        <f>"广西乐业县"</f>
        <v>广西乐业县</v>
      </c>
      <c r="F152" t="str">
        <f>"1992年12月"</f>
        <v>1992年12月</v>
      </c>
      <c r="G152" t="str">
        <f>"共青团员"</f>
        <v>共青团员</v>
      </c>
      <c r="H152" t="str">
        <f>"百色学院环境设计"</f>
        <v>百色学院环境设计</v>
      </c>
      <c r="I152" t="str">
        <f>"环境设计"</f>
        <v>环境设计</v>
      </c>
      <c r="J152" t="str">
        <f t="shared" si="44"/>
        <v>本科学士</v>
      </c>
      <c r="K152" t="str">
        <f t="shared" si="39"/>
        <v>百色市右江区</v>
      </c>
      <c r="L152" t="str">
        <f>"广西百色市乐业县幼平乡扁利村打敏屯"</f>
        <v>广西百色市乐业县幼平乡扁利村打敏屯</v>
      </c>
      <c r="M152" t="str">
        <f>"2016.08.01"</f>
        <v>2016.08.01</v>
      </c>
      <c r="N152" t="str">
        <f>"2017.06.01"</f>
        <v>2017.06.01</v>
      </c>
      <c r="O152" t="str">
        <f>"不是"</f>
        <v>不是</v>
      </c>
      <c r="P152" t="str">
        <f>"0:暂未取得"</f>
        <v>0:暂未取得</v>
      </c>
      <c r="Q152" t="str">
        <f>"暂无"</f>
        <v>暂无</v>
      </c>
      <c r="R152" t="str">
        <f>"暂无"</f>
        <v>暂无</v>
      </c>
      <c r="S152" t="str">
        <f>"小学"</f>
        <v>小学</v>
      </c>
      <c r="T152" t="str">
        <f>"108:美术"</f>
        <v>108:美术</v>
      </c>
      <c r="U152" t="str">
        <f t="shared" si="40"/>
        <v>通过</v>
      </c>
    </row>
    <row r="153" spans="1:21" x14ac:dyDescent="0.15">
      <c r="A153" t="str">
        <f>"152"</f>
        <v>152</v>
      </c>
      <c r="B153" t="str">
        <f>"黄远常"</f>
        <v>黄远常</v>
      </c>
      <c r="C153" t="str">
        <f>"男        "</f>
        <v xml:space="preserve">男        </v>
      </c>
      <c r="D153" t="str">
        <f>"壮族"</f>
        <v>壮族</v>
      </c>
      <c r="E153" t="str">
        <f>"广西乐业县"</f>
        <v>广西乐业县</v>
      </c>
      <c r="F153" t="str">
        <f>"1990年03月"</f>
        <v>1990年03月</v>
      </c>
      <c r="G153" t="str">
        <f>"共青团员"</f>
        <v>共青团员</v>
      </c>
      <c r="H153" t="str">
        <f>"广西师范学院思想政治教育"</f>
        <v>广西师范学院思想政治教育</v>
      </c>
      <c r="I153" t="str">
        <f>"思想政治教育"</f>
        <v>思想政治教育</v>
      </c>
      <c r="J153" t="str">
        <f t="shared" si="44"/>
        <v>本科学士</v>
      </c>
      <c r="K153" t="str">
        <f t="shared" si="39"/>
        <v>百色市右江区</v>
      </c>
      <c r="L153" t="str">
        <f>"广西乐业县甘田镇夏福村龙角屯013号"</f>
        <v>广西乐业县甘田镇夏福村龙角屯013号</v>
      </c>
      <c r="M153" t="str">
        <f>"2015.08.01"</f>
        <v>2015.08.01</v>
      </c>
      <c r="N153" t="str">
        <f>"2015.07.01"</f>
        <v>2015.07.01</v>
      </c>
      <c r="O153" t="str">
        <f>"是"</f>
        <v>是</v>
      </c>
      <c r="P153" t="str">
        <f>"4:高级中学"</f>
        <v>4:高级中学</v>
      </c>
      <c r="Q153" t="str">
        <f>"20154501041003097"</f>
        <v>20154501041003097</v>
      </c>
      <c r="R153" t="str">
        <f>"106031201505000251"</f>
        <v>106031201505000251</v>
      </c>
      <c r="S153" t="str">
        <f>"初中"</f>
        <v>初中</v>
      </c>
      <c r="T153" t="str">
        <f>"299:政治"</f>
        <v>299:政治</v>
      </c>
      <c r="U153" t="str">
        <f t="shared" si="40"/>
        <v>通过</v>
      </c>
    </row>
    <row r="154" spans="1:21" x14ac:dyDescent="0.15">
      <c r="A154" t="str">
        <f>"153"</f>
        <v>153</v>
      </c>
      <c r="B154" t="str">
        <f>"韦小钰"</f>
        <v>韦小钰</v>
      </c>
      <c r="C154" t="str">
        <f>"女        "</f>
        <v xml:space="preserve">女        </v>
      </c>
      <c r="D154" t="str">
        <f>"壮族"</f>
        <v>壮族</v>
      </c>
      <c r="E154" t="str">
        <f>"广西南宁"</f>
        <v>广西南宁</v>
      </c>
      <c r="F154" t="str">
        <f>"1994年02月"</f>
        <v>1994年02月</v>
      </c>
      <c r="G154" t="str">
        <f>"共青团员"</f>
        <v>共青团员</v>
      </c>
      <c r="H154" t="str">
        <f>"百色学院汉语"</f>
        <v>百色学院汉语</v>
      </c>
      <c r="I154" t="str">
        <f>"汉语"</f>
        <v>汉语</v>
      </c>
      <c r="J154" t="str">
        <f>"专科无学位"</f>
        <v>专科无学位</v>
      </c>
      <c r="K154" t="str">
        <f t="shared" si="39"/>
        <v>百色市右江区</v>
      </c>
      <c r="L154" t="str">
        <f>"广西南宁市武鸣区锣圩镇板新村新兴屯11号"</f>
        <v>广西南宁市武鸣区锣圩镇板新村新兴屯11号</v>
      </c>
      <c r="M154" t="str">
        <f>"2016.12.01"</f>
        <v>2016.12.01</v>
      </c>
      <c r="N154" t="str">
        <f>"2017.06.01"</f>
        <v>2017.06.01</v>
      </c>
      <c r="O154" t="str">
        <f>"是"</f>
        <v>是</v>
      </c>
      <c r="P154" t="str">
        <f>"0:暂未取得"</f>
        <v>0:暂未取得</v>
      </c>
      <c r="Q154" t="str">
        <f>"2017届毕业生填暂无"</f>
        <v>2017届毕业生填暂无</v>
      </c>
      <c r="R154" t="str">
        <f>"2017届毕业生填暂无"</f>
        <v>2017届毕业生填暂无</v>
      </c>
      <c r="S154" t="str">
        <f>"小学"</f>
        <v>小学</v>
      </c>
      <c r="T154" t="str">
        <f>"102:语文"</f>
        <v>102:语文</v>
      </c>
      <c r="U154" t="str">
        <f t="shared" si="40"/>
        <v>通过</v>
      </c>
    </row>
    <row r="155" spans="1:21" x14ac:dyDescent="0.15">
      <c r="A155" t="str">
        <f>"154"</f>
        <v>154</v>
      </c>
      <c r="B155" t="str">
        <f>"覃劲"</f>
        <v>覃劲</v>
      </c>
      <c r="C155" t="str">
        <f>"女        "</f>
        <v xml:space="preserve">女        </v>
      </c>
      <c r="D155" t="str">
        <f>"汉族"</f>
        <v>汉族</v>
      </c>
      <c r="E155" t="str">
        <f>"广西玉林"</f>
        <v>广西玉林</v>
      </c>
      <c r="F155" t="str">
        <f>"1993年01月"</f>
        <v>1993年01月</v>
      </c>
      <c r="G155" t="str">
        <f>"中共党员"</f>
        <v>中共党员</v>
      </c>
      <c r="H155" t="str">
        <f>"百色学院英语教育"</f>
        <v>百色学院英语教育</v>
      </c>
      <c r="I155" t="str">
        <f>"英语教育"</f>
        <v>英语教育</v>
      </c>
      <c r="J155" t="str">
        <f>"本科学士"</f>
        <v>本科学士</v>
      </c>
      <c r="K155" t="str">
        <f t="shared" si="39"/>
        <v>百色市右江区</v>
      </c>
      <c r="L155" t="str">
        <f>"广西玉林市玉州区大塘镇苏烟村"</f>
        <v>广西玉林市玉州区大塘镇苏烟村</v>
      </c>
      <c r="M155" t="str">
        <f>"2016.09.01"</f>
        <v>2016.09.01</v>
      </c>
      <c r="N155" t="str">
        <f>"2017.07.01"</f>
        <v>2017.07.01</v>
      </c>
      <c r="O155" t="str">
        <f>"是"</f>
        <v>是</v>
      </c>
      <c r="P155" t="str">
        <f>"4:高级中学"</f>
        <v>4:高级中学</v>
      </c>
      <c r="Q155" t="str">
        <f>"无"</f>
        <v>无</v>
      </c>
      <c r="R155" t="str">
        <f>"无"</f>
        <v>无</v>
      </c>
      <c r="S155" t="str">
        <f>"初中"</f>
        <v>初中</v>
      </c>
      <c r="T155" t="str">
        <f>"204:英语"</f>
        <v>204:英语</v>
      </c>
      <c r="U155" t="str">
        <f t="shared" si="40"/>
        <v>通过</v>
      </c>
    </row>
    <row r="156" spans="1:21" x14ac:dyDescent="0.15">
      <c r="A156" t="str">
        <f>"155"</f>
        <v>155</v>
      </c>
      <c r="B156" t="str">
        <f>"骆嘉怡"</f>
        <v>骆嘉怡</v>
      </c>
      <c r="C156" t="str">
        <f>"女        "</f>
        <v xml:space="preserve">女        </v>
      </c>
      <c r="D156" t="str">
        <f>"壮族"</f>
        <v>壮族</v>
      </c>
      <c r="E156" t="str">
        <f>"广东吴川"</f>
        <v>广东吴川</v>
      </c>
      <c r="F156" t="str">
        <f>"1997年11月"</f>
        <v>1997年11月</v>
      </c>
      <c r="G156" t="str">
        <f>"共青团员"</f>
        <v>共青团员</v>
      </c>
      <c r="H156" t="str">
        <f>"百色学院小学教育"</f>
        <v>百色学院小学教育</v>
      </c>
      <c r="I156" t="str">
        <f>"小学教育"</f>
        <v>小学教育</v>
      </c>
      <c r="J156" t="str">
        <f>"专科无学位"</f>
        <v>专科无学位</v>
      </c>
      <c r="K156" t="str">
        <f t="shared" si="39"/>
        <v>百色市右江区</v>
      </c>
      <c r="L156" t="str">
        <f>"广西百色市右江区解放街20号"</f>
        <v>广西百色市右江区解放街20号</v>
      </c>
      <c r="M156" t="str">
        <f>""</f>
        <v/>
      </c>
      <c r="N156" t="str">
        <f>"2017.06.01"</f>
        <v>2017.06.01</v>
      </c>
      <c r="O156" t="str">
        <f>"是"</f>
        <v>是</v>
      </c>
      <c r="P156" t="str">
        <f>"0:暂未取得"</f>
        <v>0:暂未取得</v>
      </c>
      <c r="Q156" t="str">
        <f>"2017届毕业生填暂无"</f>
        <v>2017届毕业生填暂无</v>
      </c>
      <c r="R156" t="str">
        <f>"2017届毕业生填暂无"</f>
        <v>2017届毕业生填暂无</v>
      </c>
      <c r="S156" t="str">
        <f>"小学"</f>
        <v>小学</v>
      </c>
      <c r="T156" t="str">
        <f>"102:语文"</f>
        <v>102:语文</v>
      </c>
      <c r="U156" t="str">
        <f t="shared" si="40"/>
        <v>通过</v>
      </c>
    </row>
    <row r="157" spans="1:21" x14ac:dyDescent="0.15">
      <c r="A157" t="str">
        <f>"156"</f>
        <v>156</v>
      </c>
      <c r="B157" t="str">
        <f>"谢玉芳"</f>
        <v>谢玉芳</v>
      </c>
      <c r="C157" t="str">
        <f>"女        "</f>
        <v xml:space="preserve">女        </v>
      </c>
      <c r="D157" t="str">
        <f>"汉族"</f>
        <v>汉族</v>
      </c>
      <c r="E157" t="str">
        <f>"广西"</f>
        <v>广西</v>
      </c>
      <c r="F157" t="str">
        <f>"1992年12月"</f>
        <v>1992年12月</v>
      </c>
      <c r="G157" t="str">
        <f>"中共党员"</f>
        <v>中共党员</v>
      </c>
      <c r="H157" t="str">
        <f>"百色学院英语"</f>
        <v>百色学院英语</v>
      </c>
      <c r="I157" t="str">
        <f>"英语"</f>
        <v>英语</v>
      </c>
      <c r="J157" t="str">
        <f>"本科学士"</f>
        <v>本科学士</v>
      </c>
      <c r="K157" t="str">
        <f t="shared" si="39"/>
        <v>百色市右江区</v>
      </c>
      <c r="L157" t="str">
        <f>"广西平南县富藏中团村"</f>
        <v>广西平南县富藏中团村</v>
      </c>
      <c r="M157" t="str">
        <f>"2015.05.01"</f>
        <v>2015.05.01</v>
      </c>
      <c r="N157" t="str">
        <f>"2015.06.01"</f>
        <v>2015.06.01</v>
      </c>
      <c r="O157" t="str">
        <f>"不是"</f>
        <v>不是</v>
      </c>
      <c r="P157" t="str">
        <f>"4:高级中学"</f>
        <v>4:高级中学</v>
      </c>
      <c r="Q157" t="str">
        <f>"20174560042000126"</f>
        <v>20174560042000126</v>
      </c>
      <c r="R157" t="str">
        <f>"106091201505000804"</f>
        <v>106091201505000804</v>
      </c>
      <c r="S157" t="str">
        <f>"初中"</f>
        <v>初中</v>
      </c>
      <c r="T157" t="str">
        <f>"204:英语"</f>
        <v>204:英语</v>
      </c>
      <c r="U157" t="str">
        <f t="shared" si="40"/>
        <v>通过</v>
      </c>
    </row>
    <row r="158" spans="1:21" x14ac:dyDescent="0.15">
      <c r="A158" t="str">
        <f>"157"</f>
        <v>157</v>
      </c>
      <c r="B158" t="str">
        <f>"李兰花"</f>
        <v>李兰花</v>
      </c>
      <c r="C158" t="str">
        <f>"女        "</f>
        <v xml:space="preserve">女        </v>
      </c>
      <c r="D158" t="str">
        <f>"壮族"</f>
        <v>壮族</v>
      </c>
      <c r="E158" t="str">
        <f>"广西"</f>
        <v>广西</v>
      </c>
      <c r="F158" t="str">
        <f>"1990年07月"</f>
        <v>1990年07月</v>
      </c>
      <c r="G158" t="str">
        <f>"群众"</f>
        <v>群众</v>
      </c>
      <c r="H158" t="str">
        <f>"广西师范大学动画"</f>
        <v>广西师范大学动画</v>
      </c>
      <c r="I158" t="str">
        <f>"动画"</f>
        <v>动画</v>
      </c>
      <c r="J158" t="str">
        <f>"本科学士"</f>
        <v>本科学士</v>
      </c>
      <c r="K158" t="str">
        <f t="shared" si="39"/>
        <v>百色市右江区</v>
      </c>
      <c r="L158" t="str">
        <f>"广西南宁市邕宁区蒲庙镇良勇村那稔坡"</f>
        <v>广西南宁市邕宁区蒲庙镇良勇村那稔坡</v>
      </c>
      <c r="M158" t="str">
        <f>"2015.07.01"</f>
        <v>2015.07.01</v>
      </c>
      <c r="N158" t="str">
        <f>"2015.06.01"</f>
        <v>2015.06.01</v>
      </c>
      <c r="O158" t="str">
        <f>"是"</f>
        <v>是</v>
      </c>
      <c r="P158" t="str">
        <f>"5:中等职业学校"</f>
        <v>5:中等职业学校</v>
      </c>
      <c r="Q158" t="str">
        <f>"20154503052003176"</f>
        <v>20154503052003176</v>
      </c>
      <c r="R158" t="str">
        <f>"106021201505003541"</f>
        <v>106021201505003541</v>
      </c>
      <c r="S158" t="str">
        <f>"小学"</f>
        <v>小学</v>
      </c>
      <c r="T158" t="str">
        <f>"108:美术"</f>
        <v>108:美术</v>
      </c>
      <c r="U158" t="str">
        <f t="shared" si="40"/>
        <v>通过</v>
      </c>
    </row>
    <row r="159" spans="1:21" x14ac:dyDescent="0.15">
      <c r="A159" t="str">
        <f>"158"</f>
        <v>158</v>
      </c>
      <c r="B159" t="str">
        <f>"陈雄"</f>
        <v>陈雄</v>
      </c>
      <c r="C159" t="str">
        <f>"男        "</f>
        <v xml:space="preserve">男        </v>
      </c>
      <c r="D159" t="str">
        <f>"汉族"</f>
        <v>汉族</v>
      </c>
      <c r="E159" t="str">
        <f>"广西合浦"</f>
        <v>广西合浦</v>
      </c>
      <c r="F159" t="str">
        <f>"1994年11月"</f>
        <v>1994年11月</v>
      </c>
      <c r="G159" t="str">
        <f>"共青团员"</f>
        <v>共青团员</v>
      </c>
      <c r="H159" t="str">
        <f>"百色学院思想政治教育"</f>
        <v>百色学院思想政治教育</v>
      </c>
      <c r="I159" t="str">
        <f>"思想政治教育"</f>
        <v>思想政治教育</v>
      </c>
      <c r="J159" t="str">
        <f>"本科学士"</f>
        <v>本科学士</v>
      </c>
      <c r="K159" t="str">
        <f t="shared" si="39"/>
        <v>百色市右江区</v>
      </c>
      <c r="L159" t="str">
        <f>"广西北海市合浦县常乐镇"</f>
        <v>广西北海市合浦县常乐镇</v>
      </c>
      <c r="M159" t="str">
        <f>"2017.02.01"</f>
        <v>2017.02.01</v>
      </c>
      <c r="N159" t="str">
        <f>"2017.07.01"</f>
        <v>2017.07.01</v>
      </c>
      <c r="O159" t="str">
        <f>"是"</f>
        <v>是</v>
      </c>
      <c r="P159" t="str">
        <f>"4:高级中学"</f>
        <v>4:高级中学</v>
      </c>
      <c r="Q159" t="str">
        <f>"暂无"</f>
        <v>暂无</v>
      </c>
      <c r="R159" t="str">
        <f>"暂无"</f>
        <v>暂无</v>
      </c>
      <c r="S159" t="str">
        <f>"初中"</f>
        <v>初中</v>
      </c>
      <c r="T159" t="str">
        <f>"299:政治"</f>
        <v>299:政治</v>
      </c>
      <c r="U159" t="str">
        <f t="shared" si="40"/>
        <v>通过</v>
      </c>
    </row>
    <row r="160" spans="1:21" x14ac:dyDescent="0.15">
      <c r="A160" t="str">
        <f>"159"</f>
        <v>159</v>
      </c>
      <c r="B160" t="str">
        <f>"尹隆嘉"</f>
        <v>尹隆嘉</v>
      </c>
      <c r="C160" t="str">
        <f>"男        "</f>
        <v xml:space="preserve">男        </v>
      </c>
      <c r="D160" t="str">
        <f t="shared" ref="D160:D170" si="45">"壮族"</f>
        <v>壮族</v>
      </c>
      <c r="E160" t="str">
        <f>"广西百色"</f>
        <v>广西百色</v>
      </c>
      <c r="F160" t="str">
        <f>"1994年09月"</f>
        <v>1994年09月</v>
      </c>
      <c r="G160" t="str">
        <f>"共青团员"</f>
        <v>共青团员</v>
      </c>
      <c r="H160" t="str">
        <f>"广西师范学院体育教育"</f>
        <v>广西师范学院体育教育</v>
      </c>
      <c r="I160" t="str">
        <f>"体育教育"</f>
        <v>体育教育</v>
      </c>
      <c r="J160" t="str">
        <f>"本科学士"</f>
        <v>本科学士</v>
      </c>
      <c r="K160" t="str">
        <f t="shared" si="39"/>
        <v>百色市右江区</v>
      </c>
      <c r="L160" t="str">
        <f>"广西百色市右江区爱心街286号"</f>
        <v>广西百色市右江区爱心街286号</v>
      </c>
      <c r="M160" t="str">
        <f>"2016.10.01"</f>
        <v>2016.10.01</v>
      </c>
      <c r="N160" t="str">
        <f>"2017.06.01"</f>
        <v>2017.06.01</v>
      </c>
      <c r="O160" t="str">
        <f>"是"</f>
        <v>是</v>
      </c>
      <c r="P160" t="str">
        <f>"0:暂未取得"</f>
        <v>0:暂未取得</v>
      </c>
      <c r="Q160" t="str">
        <f t="shared" ref="Q160:R162" si="46">"2017届毕业生填暂无"</f>
        <v>2017届毕业生填暂无</v>
      </c>
      <c r="R160" t="str">
        <f t="shared" si="46"/>
        <v>2017届毕业生填暂无</v>
      </c>
      <c r="S160" t="str">
        <f>"初中"</f>
        <v>初中</v>
      </c>
      <c r="T160" t="str">
        <f>"212:体育"</f>
        <v>212:体育</v>
      </c>
      <c r="U160" t="str">
        <f t="shared" si="40"/>
        <v>通过</v>
      </c>
    </row>
    <row r="161" spans="1:21" x14ac:dyDescent="0.15">
      <c r="A161" t="str">
        <f>"160"</f>
        <v>160</v>
      </c>
      <c r="B161" t="str">
        <f>"潘于鹏"</f>
        <v>潘于鹏</v>
      </c>
      <c r="C161" t="str">
        <f>"男        "</f>
        <v xml:space="preserve">男        </v>
      </c>
      <c r="D161" t="str">
        <f t="shared" si="45"/>
        <v>壮族</v>
      </c>
      <c r="E161" t="str">
        <f>"广西南宁"</f>
        <v>广西南宁</v>
      </c>
      <c r="F161" t="str">
        <f>"1995年03月"</f>
        <v>1995年03月</v>
      </c>
      <c r="G161" t="str">
        <f>"中共党员"</f>
        <v>中共党员</v>
      </c>
      <c r="H161" t="str">
        <f>"百色学院材料成型及控制工程"</f>
        <v>百色学院材料成型及控制工程</v>
      </c>
      <c r="I161" t="str">
        <f>"材料成型及控制工程"</f>
        <v>材料成型及控制工程</v>
      </c>
      <c r="J161" t="str">
        <f>"本科学士"</f>
        <v>本科学士</v>
      </c>
      <c r="K161" t="str">
        <f t="shared" si="39"/>
        <v>百色市右江区</v>
      </c>
      <c r="L161" t="str">
        <f>"广西南宁市马山县金钗镇龙塘村巴更屯"</f>
        <v>广西南宁市马山县金钗镇龙塘村巴更屯</v>
      </c>
      <c r="M161" t="str">
        <f>""</f>
        <v/>
      </c>
      <c r="N161" t="str">
        <f>"2017.06.01"</f>
        <v>2017.06.01</v>
      </c>
      <c r="O161" t="str">
        <f>"不是"</f>
        <v>不是</v>
      </c>
      <c r="P161" t="str">
        <f>"0:暂未取得"</f>
        <v>0:暂未取得</v>
      </c>
      <c r="Q161" t="str">
        <f t="shared" si="46"/>
        <v>2017届毕业生填暂无</v>
      </c>
      <c r="R161" t="str">
        <f t="shared" si="46"/>
        <v>2017届毕业生填暂无</v>
      </c>
      <c r="S161" t="str">
        <f>"小学"</f>
        <v>小学</v>
      </c>
      <c r="T161" t="str">
        <f>"103:数学"</f>
        <v>103:数学</v>
      </c>
      <c r="U161" t="str">
        <f t="shared" si="40"/>
        <v>通过</v>
      </c>
    </row>
    <row r="162" spans="1:21" x14ac:dyDescent="0.15">
      <c r="A162" t="str">
        <f>"161"</f>
        <v>161</v>
      </c>
      <c r="B162" t="str">
        <f>"黄佳丽"</f>
        <v>黄佳丽</v>
      </c>
      <c r="C162" t="str">
        <f>"女        "</f>
        <v xml:space="preserve">女        </v>
      </c>
      <c r="D162" t="str">
        <f t="shared" si="45"/>
        <v>壮族</v>
      </c>
      <c r="E162" t="str">
        <f>"广西百色"</f>
        <v>广西百色</v>
      </c>
      <c r="F162" t="str">
        <f>"1996年03月"</f>
        <v>1996年03月</v>
      </c>
      <c r="G162" t="str">
        <f>"共青团员"</f>
        <v>共青团员</v>
      </c>
      <c r="H162" t="str">
        <f>"广西幼儿师范高等专科学校舞蹈教育"</f>
        <v>广西幼儿师范高等专科学校舞蹈教育</v>
      </c>
      <c r="I162" t="str">
        <f>"舞蹈教育"</f>
        <v>舞蹈教育</v>
      </c>
      <c r="J162" t="str">
        <f>"专科学士"</f>
        <v>专科学士</v>
      </c>
      <c r="K162" t="str">
        <f t="shared" si="39"/>
        <v>百色市右江区</v>
      </c>
      <c r="L162" t="str">
        <f>"广西百色田东县朔良镇巴鲁村甫甲屯6号"</f>
        <v>广西百色田东县朔良镇巴鲁村甫甲屯6号</v>
      </c>
      <c r="M162" t="str">
        <f>"2016.03.01"</f>
        <v>2016.03.01</v>
      </c>
      <c r="N162" t="str">
        <f>"2017.06.01"</f>
        <v>2017.06.01</v>
      </c>
      <c r="O162" t="str">
        <f>"是"</f>
        <v>是</v>
      </c>
      <c r="P162" t="str">
        <f>"1:幼儿园"</f>
        <v>1:幼儿园</v>
      </c>
      <c r="Q162" t="str">
        <f t="shared" si="46"/>
        <v>2017届毕业生填暂无</v>
      </c>
      <c r="R162" t="str">
        <f t="shared" si="46"/>
        <v>2017届毕业生填暂无</v>
      </c>
      <c r="S162" t="str">
        <f>"小学"</f>
        <v>小学</v>
      </c>
      <c r="T162" t="str">
        <f>"107:音乐"</f>
        <v>107:音乐</v>
      </c>
      <c r="U162" t="str">
        <f t="shared" si="40"/>
        <v>通过</v>
      </c>
    </row>
    <row r="163" spans="1:21" x14ac:dyDescent="0.15">
      <c r="A163" t="str">
        <f>"162"</f>
        <v>162</v>
      </c>
      <c r="B163" t="str">
        <f>"邓沁欣"</f>
        <v>邓沁欣</v>
      </c>
      <c r="C163" t="str">
        <f>"女        "</f>
        <v xml:space="preserve">女        </v>
      </c>
      <c r="D163" t="str">
        <f t="shared" si="45"/>
        <v>壮族</v>
      </c>
      <c r="E163" t="str">
        <f>"广西百色市"</f>
        <v>广西百色市</v>
      </c>
      <c r="F163" t="str">
        <f>"1993年06月"</f>
        <v>1993年06月</v>
      </c>
      <c r="G163" t="str">
        <f>"共青团员"</f>
        <v>共青团员</v>
      </c>
      <c r="H163" t="str">
        <f>"广西幼儿师范高等专科学校英语"</f>
        <v>广西幼儿师范高等专科学校英语</v>
      </c>
      <c r="I163" t="str">
        <f>"英语"</f>
        <v>英语</v>
      </c>
      <c r="J163" t="str">
        <f>"专科无学位"</f>
        <v>专科无学位</v>
      </c>
      <c r="K163" t="str">
        <f t="shared" si="39"/>
        <v>百色市右江区</v>
      </c>
      <c r="L163" t="str">
        <f>"百色市右江区大湾社区龙景街道办事处那午屯"</f>
        <v>百色市右江区大湾社区龙景街道办事处那午屯</v>
      </c>
      <c r="M163" t="str">
        <f>"2015.03.01"</f>
        <v>2015.03.01</v>
      </c>
      <c r="N163" t="str">
        <f>"2014.07.01"</f>
        <v>2014.07.01</v>
      </c>
      <c r="O163" t="str">
        <f>"是"</f>
        <v>是</v>
      </c>
      <c r="P163" t="str">
        <f>"2:小学"</f>
        <v>2:小学</v>
      </c>
      <c r="Q163" t="str">
        <f>"2017452016319"</f>
        <v>2017452016319</v>
      </c>
      <c r="R163" t="str">
        <f>"2017届毕业生填暂无"</f>
        <v>2017届毕业生填暂无</v>
      </c>
      <c r="S163" t="str">
        <f>"小学"</f>
        <v>小学</v>
      </c>
      <c r="T163" t="str">
        <f>"104:英语"</f>
        <v>104:英语</v>
      </c>
      <c r="U163" t="str">
        <f t="shared" si="40"/>
        <v>通过</v>
      </c>
    </row>
    <row r="164" spans="1:21" x14ac:dyDescent="0.15">
      <c r="A164" t="str">
        <f>"163"</f>
        <v>163</v>
      </c>
      <c r="B164" t="str">
        <f>"李艳"</f>
        <v>李艳</v>
      </c>
      <c r="C164" t="str">
        <f>"女        "</f>
        <v xml:space="preserve">女        </v>
      </c>
      <c r="D164" t="str">
        <f t="shared" si="45"/>
        <v>壮族</v>
      </c>
      <c r="E164" t="str">
        <f>"广西德保"</f>
        <v>广西德保</v>
      </c>
      <c r="F164" t="str">
        <f>"1993年06月"</f>
        <v>1993年06月</v>
      </c>
      <c r="G164" t="str">
        <f>"共青团员"</f>
        <v>共青团员</v>
      </c>
      <c r="H164" t="str">
        <f>"百色学院思想政治教育"</f>
        <v>百色学院思想政治教育</v>
      </c>
      <c r="I164" t="str">
        <f>"思想政治教育"</f>
        <v>思想政治教育</v>
      </c>
      <c r="J164" t="str">
        <f>"本科学士"</f>
        <v>本科学士</v>
      </c>
      <c r="K164" t="str">
        <f t="shared" si="39"/>
        <v>百色市右江区</v>
      </c>
      <c r="L164" t="str">
        <f>"广西百色德保县荣华乡那隆村备屯59号"</f>
        <v>广西百色德保县荣华乡那隆村备屯59号</v>
      </c>
      <c r="M164" t="str">
        <f>""</f>
        <v/>
      </c>
      <c r="N164" t="str">
        <f>"2017.06.01"</f>
        <v>2017.06.01</v>
      </c>
      <c r="O164" t="str">
        <f>"是"</f>
        <v>是</v>
      </c>
      <c r="P164" t="str">
        <f>"4:高级中学"</f>
        <v>4:高级中学</v>
      </c>
      <c r="Q164" t="str">
        <f>"2017届毕业生填暂无"</f>
        <v>2017届毕业生填暂无</v>
      </c>
      <c r="R164" t="str">
        <f>"2017届毕业生填暂无"</f>
        <v>2017届毕业生填暂无</v>
      </c>
      <c r="S164" t="str">
        <f>"初中"</f>
        <v>初中</v>
      </c>
      <c r="T164" t="str">
        <f>"299:政治"</f>
        <v>299:政治</v>
      </c>
      <c r="U164" t="str">
        <f t="shared" si="40"/>
        <v>通过</v>
      </c>
    </row>
    <row r="165" spans="1:21" x14ac:dyDescent="0.15">
      <c r="A165" t="str">
        <f>"164"</f>
        <v>164</v>
      </c>
      <c r="B165" t="str">
        <f>"黄雪莹"</f>
        <v>黄雪莹</v>
      </c>
      <c r="C165" t="str">
        <f>"女        "</f>
        <v xml:space="preserve">女        </v>
      </c>
      <c r="D165" t="str">
        <f t="shared" si="45"/>
        <v>壮族</v>
      </c>
      <c r="E165" t="str">
        <f>"广西平果县"</f>
        <v>广西平果县</v>
      </c>
      <c r="F165" t="str">
        <f>"1991年09月"</f>
        <v>1991年09月</v>
      </c>
      <c r="G165" t="str">
        <f>"中共党员"</f>
        <v>中共党员</v>
      </c>
      <c r="H165" t="str">
        <f>"百色学院英语教育"</f>
        <v>百色学院英语教育</v>
      </c>
      <c r="I165" t="str">
        <f>"英语教育"</f>
        <v>英语教育</v>
      </c>
      <c r="J165" t="str">
        <f>"专科无学位"</f>
        <v>专科无学位</v>
      </c>
      <c r="K165" t="str">
        <f t="shared" si="39"/>
        <v>百色市右江区</v>
      </c>
      <c r="L165" t="str">
        <f>"广西平果县海城乡石赵村团下屯"</f>
        <v>广西平果县海城乡石赵村团下屯</v>
      </c>
      <c r="M165" t="str">
        <f>"2016.09.01"</f>
        <v>2016.09.01</v>
      </c>
      <c r="N165" t="str">
        <f>"2014.07.01"</f>
        <v>2014.07.01</v>
      </c>
      <c r="O165" t="str">
        <f>"是"</f>
        <v>是</v>
      </c>
      <c r="P165" t="str">
        <f>"3:初级中学"</f>
        <v>3:初级中学</v>
      </c>
      <c r="Q165" t="str">
        <f>"20144580032000164"</f>
        <v>20144580032000164</v>
      </c>
      <c r="R165" t="str">
        <f>"106091201406000217"</f>
        <v>106091201406000217</v>
      </c>
      <c r="S165" t="str">
        <f>"小学"</f>
        <v>小学</v>
      </c>
      <c r="T165" t="str">
        <f>"104:英语"</f>
        <v>104:英语</v>
      </c>
      <c r="U165" t="str">
        <f t="shared" si="40"/>
        <v>通过</v>
      </c>
    </row>
    <row r="166" spans="1:21" x14ac:dyDescent="0.15">
      <c r="A166" t="str">
        <f>"165"</f>
        <v>165</v>
      </c>
      <c r="B166" t="str">
        <f>"方秀美"</f>
        <v>方秀美</v>
      </c>
      <c r="C166" t="str">
        <f>"女        "</f>
        <v xml:space="preserve">女        </v>
      </c>
      <c r="D166" t="str">
        <f t="shared" si="45"/>
        <v>壮族</v>
      </c>
      <c r="E166" t="str">
        <f>"云南富宁"</f>
        <v>云南富宁</v>
      </c>
      <c r="F166" t="str">
        <f>"1991年07月"</f>
        <v>1991年07月</v>
      </c>
      <c r="G166" t="str">
        <f t="shared" ref="G166:G172" si="47">"共青团员"</f>
        <v>共青团员</v>
      </c>
      <c r="H166" t="str">
        <f>"昆明学院汉语言文学"</f>
        <v>昆明学院汉语言文学</v>
      </c>
      <c r="I166" t="str">
        <f>"汉语言文学"</f>
        <v>汉语言文学</v>
      </c>
      <c r="J166" t="str">
        <f>"本科学士"</f>
        <v>本科学士</v>
      </c>
      <c r="K166" t="str">
        <f t="shared" si="39"/>
        <v>百色市右江区</v>
      </c>
      <c r="L166" t="str">
        <f>"云南省文山州富宁县板仑乡木腊村民委龙留小组"</f>
        <v>云南省文山州富宁县板仑乡木腊村民委龙留小组</v>
      </c>
      <c r="M166" t="str">
        <f>""</f>
        <v/>
      </c>
      <c r="N166" t="str">
        <f>"2017.07.01"</f>
        <v>2017.07.01</v>
      </c>
      <c r="O166" t="str">
        <f>"是"</f>
        <v>是</v>
      </c>
      <c r="P166" t="str">
        <f>"4:高级中学"</f>
        <v>4:高级中学</v>
      </c>
      <c r="Q166" t="str">
        <f>"暂无"</f>
        <v>暂无</v>
      </c>
      <c r="R166" t="str">
        <f>"暂无"</f>
        <v>暂无</v>
      </c>
      <c r="S166" t="str">
        <f>"小学"</f>
        <v>小学</v>
      </c>
      <c r="T166" t="str">
        <f>"102:语文"</f>
        <v>102:语文</v>
      </c>
      <c r="U166" t="str">
        <f t="shared" si="40"/>
        <v>通过</v>
      </c>
    </row>
    <row r="167" spans="1:21" x14ac:dyDescent="0.15">
      <c r="A167" t="str">
        <f>"166"</f>
        <v>166</v>
      </c>
      <c r="B167" t="str">
        <f>"梁桂榜"</f>
        <v>梁桂榜</v>
      </c>
      <c r="C167" t="str">
        <f>"男        "</f>
        <v xml:space="preserve">男        </v>
      </c>
      <c r="D167" t="str">
        <f t="shared" si="45"/>
        <v>壮族</v>
      </c>
      <c r="E167" t="str">
        <f>"广西百色"</f>
        <v>广西百色</v>
      </c>
      <c r="F167" t="str">
        <f>"1992年08月"</f>
        <v>1992年08月</v>
      </c>
      <c r="G167" t="str">
        <f t="shared" si="47"/>
        <v>共青团员</v>
      </c>
      <c r="H167" t="str">
        <f>"桂林理工大学土木工程"</f>
        <v>桂林理工大学土木工程</v>
      </c>
      <c r="I167" t="str">
        <f>"土木工程"</f>
        <v>土木工程</v>
      </c>
      <c r="J167" t="str">
        <f>"本科学士"</f>
        <v>本科学士</v>
      </c>
      <c r="K167" t="str">
        <f t="shared" si="39"/>
        <v>百色市右江区</v>
      </c>
      <c r="L167" t="str">
        <f>"广西百色市右江区城乡路98号6栋一单元603户"</f>
        <v>广西百色市右江区城乡路98号6栋一单元603户</v>
      </c>
      <c r="M167" t="str">
        <f>"2016.08.01"</f>
        <v>2016.08.01</v>
      </c>
      <c r="N167" t="str">
        <f>"2017.06.01"</f>
        <v>2017.06.01</v>
      </c>
      <c r="O167" t="str">
        <f>"不是"</f>
        <v>不是</v>
      </c>
      <c r="P167" t="str">
        <f>"0:暂未取得"</f>
        <v>0:暂未取得</v>
      </c>
      <c r="Q167" t="str">
        <f>"暂无"</f>
        <v>暂无</v>
      </c>
      <c r="R167" t="str">
        <f>"105961201605001591"</f>
        <v>105961201605001591</v>
      </c>
      <c r="S167" t="str">
        <f>"小学"</f>
        <v>小学</v>
      </c>
      <c r="T167" t="str">
        <f>"103:数学"</f>
        <v>103:数学</v>
      </c>
      <c r="U167" t="str">
        <f t="shared" si="40"/>
        <v>通过</v>
      </c>
    </row>
    <row r="168" spans="1:21" x14ac:dyDescent="0.15">
      <c r="A168" t="str">
        <f>"167"</f>
        <v>167</v>
      </c>
      <c r="B168" t="str">
        <f>"兰春艳"</f>
        <v>兰春艳</v>
      </c>
      <c r="C168" t="str">
        <f>"女        "</f>
        <v xml:space="preserve">女        </v>
      </c>
      <c r="D168" t="str">
        <f t="shared" si="45"/>
        <v>壮族</v>
      </c>
      <c r="E168" t="str">
        <f>"广西都安"</f>
        <v>广西都安</v>
      </c>
      <c r="F168" t="str">
        <f>"1993年11月"</f>
        <v>1993年11月</v>
      </c>
      <c r="G168" t="str">
        <f t="shared" si="47"/>
        <v>共青团员</v>
      </c>
      <c r="H168" t="str">
        <f>"玉林师范学院学前教育"</f>
        <v>玉林师范学院学前教育</v>
      </c>
      <c r="I168" t="str">
        <f>"学前教育"</f>
        <v>学前教育</v>
      </c>
      <c r="J168" t="str">
        <f>"本科学士"</f>
        <v>本科学士</v>
      </c>
      <c r="K168" t="str">
        <f t="shared" si="39"/>
        <v>百色市右江区</v>
      </c>
      <c r="L168" t="str">
        <f>"广西百色市百色镇六苜村六苜屯14号"</f>
        <v>广西百色市百色镇六苜村六苜屯14号</v>
      </c>
      <c r="M168" t="str">
        <f>""</f>
        <v/>
      </c>
      <c r="N168" t="str">
        <f>"2017.06.01"</f>
        <v>2017.06.01</v>
      </c>
      <c r="O168" t="str">
        <f>"是"</f>
        <v>是</v>
      </c>
      <c r="P168" t="str">
        <f>"1:幼儿园"</f>
        <v>1:幼儿园</v>
      </c>
      <c r="Q168" t="str">
        <f>"无"</f>
        <v>无</v>
      </c>
      <c r="R168" t="str">
        <f>"无"</f>
        <v>无</v>
      </c>
      <c r="S168" t="str">
        <f>"小学"</f>
        <v>小学</v>
      </c>
      <c r="T168" t="str">
        <f>"103:数学"</f>
        <v>103:数学</v>
      </c>
      <c r="U168" t="str">
        <f t="shared" si="40"/>
        <v>通过</v>
      </c>
    </row>
    <row r="169" spans="1:21" x14ac:dyDescent="0.15">
      <c r="A169" t="str">
        <f>"168"</f>
        <v>168</v>
      </c>
      <c r="B169" t="str">
        <f>"余静"</f>
        <v>余静</v>
      </c>
      <c r="C169" t="str">
        <f>"女        "</f>
        <v xml:space="preserve">女        </v>
      </c>
      <c r="D169" t="str">
        <f t="shared" si="45"/>
        <v>壮族</v>
      </c>
      <c r="E169" t="str">
        <f>"广西省百色市"</f>
        <v>广西省百色市</v>
      </c>
      <c r="F169" t="str">
        <f>"1994年05月"</f>
        <v>1994年05月</v>
      </c>
      <c r="G169" t="str">
        <f t="shared" si="47"/>
        <v>共青团员</v>
      </c>
      <c r="H169" t="str">
        <f>"河池学院英语"</f>
        <v>河池学院英语</v>
      </c>
      <c r="I169" t="str">
        <f>"英语"</f>
        <v>英语</v>
      </c>
      <c r="J169" t="str">
        <f>"本科学士"</f>
        <v>本科学士</v>
      </c>
      <c r="K169" t="str">
        <f t="shared" si="39"/>
        <v>百色市右江区</v>
      </c>
      <c r="L169" t="str">
        <f>"广西省百色市右江区115号"</f>
        <v>广西省百色市右江区115号</v>
      </c>
      <c r="M169" t="str">
        <f>""</f>
        <v/>
      </c>
      <c r="N169" t="str">
        <f>"2017.06.01"</f>
        <v>2017.06.01</v>
      </c>
      <c r="O169" t="str">
        <f>"是"</f>
        <v>是</v>
      </c>
      <c r="P169" t="str">
        <f>"3:初级中学"</f>
        <v>3:初级中学</v>
      </c>
      <c r="Q169" t="str">
        <f>"暂无"</f>
        <v>暂无</v>
      </c>
      <c r="R169" t="str">
        <f>"暂无"</f>
        <v>暂无</v>
      </c>
      <c r="S169" t="str">
        <f>"初中"</f>
        <v>初中</v>
      </c>
      <c r="T169" t="str">
        <f>"204:英语"</f>
        <v>204:英语</v>
      </c>
      <c r="U169" t="str">
        <f t="shared" si="40"/>
        <v>通过</v>
      </c>
    </row>
    <row r="170" spans="1:21" x14ac:dyDescent="0.15">
      <c r="A170" t="str">
        <f>"169"</f>
        <v>169</v>
      </c>
      <c r="B170" t="str">
        <f>"农金英"</f>
        <v>农金英</v>
      </c>
      <c r="C170" t="str">
        <f>"女        "</f>
        <v xml:space="preserve">女        </v>
      </c>
      <c r="D170" t="str">
        <f t="shared" si="45"/>
        <v>壮族</v>
      </c>
      <c r="E170" t="str">
        <f>"广西田东县"</f>
        <v>广西田东县</v>
      </c>
      <c r="F170" t="str">
        <f>"1992年08月"</f>
        <v>1992年08月</v>
      </c>
      <c r="G170" t="str">
        <f t="shared" si="47"/>
        <v>共青团员</v>
      </c>
      <c r="H170" t="str">
        <f>"广西师范大学应用化学"</f>
        <v>广西师范大学应用化学</v>
      </c>
      <c r="I170" t="str">
        <f>"应用化学"</f>
        <v>应用化学</v>
      </c>
      <c r="J170" t="str">
        <f>"本科学士"</f>
        <v>本科学士</v>
      </c>
      <c r="K170" t="str">
        <f t="shared" si="39"/>
        <v>百色市右江区</v>
      </c>
      <c r="L170" t="str">
        <f>"广西百色市田东县江城镇大诺村果按屯71号"</f>
        <v>广西百色市田东县江城镇大诺村果按屯71号</v>
      </c>
      <c r="M170" t="str">
        <f>""</f>
        <v/>
      </c>
      <c r="N170" t="str">
        <f>"2017.06.01"</f>
        <v>2017.06.01</v>
      </c>
      <c r="O170" t="str">
        <f>"不是"</f>
        <v>不是</v>
      </c>
      <c r="P170" t="str">
        <f>"4:高级中学"</f>
        <v>4:高级中学</v>
      </c>
      <c r="Q170" t="str">
        <f>"2017届毕业生填暂无"</f>
        <v>2017届毕业生填暂无</v>
      </c>
      <c r="R170" t="str">
        <f>"2017届毕业生填暂无"</f>
        <v>2017届毕业生填暂无</v>
      </c>
      <c r="S170" t="str">
        <f>"初中"</f>
        <v>初中</v>
      </c>
      <c r="T170" t="str">
        <f>"211:化学"</f>
        <v>211:化学</v>
      </c>
      <c r="U170" t="str">
        <f t="shared" si="40"/>
        <v>通过</v>
      </c>
    </row>
    <row r="171" spans="1:21" x14ac:dyDescent="0.15">
      <c r="A171" t="str">
        <f>"170"</f>
        <v>170</v>
      </c>
      <c r="B171" t="str">
        <f>"杨颖"</f>
        <v>杨颖</v>
      </c>
      <c r="C171" t="str">
        <f>"女        "</f>
        <v xml:space="preserve">女        </v>
      </c>
      <c r="D171" t="str">
        <f>"汉族"</f>
        <v>汉族</v>
      </c>
      <c r="E171" t="str">
        <f>"广西东兰"</f>
        <v>广西东兰</v>
      </c>
      <c r="F171" t="str">
        <f>"1994年08月"</f>
        <v>1994年08月</v>
      </c>
      <c r="G171" t="str">
        <f t="shared" si="47"/>
        <v>共青团员</v>
      </c>
      <c r="H171" t="str">
        <f>"百色学院汉语"</f>
        <v>百色学院汉语</v>
      </c>
      <c r="I171" t="str">
        <f>"汉语"</f>
        <v>汉语</v>
      </c>
      <c r="J171" t="str">
        <f>"专科无学位"</f>
        <v>专科无学位</v>
      </c>
      <c r="K171" t="str">
        <f t="shared" si="39"/>
        <v>百色市右江区</v>
      </c>
      <c r="L171" t="str">
        <f>"广西百色市右江区都市嘉园"</f>
        <v>广西百色市右江区都市嘉园</v>
      </c>
      <c r="M171" t="str">
        <f>"2015.10.01"</f>
        <v>2015.10.01</v>
      </c>
      <c r="N171" t="str">
        <f>"2015.06.01"</f>
        <v>2015.06.01</v>
      </c>
      <c r="O171" t="str">
        <f>"是"</f>
        <v>是</v>
      </c>
      <c r="P171" t="str">
        <f>"2:小学"</f>
        <v>2:小学</v>
      </c>
      <c r="Q171" t="str">
        <f>"20164580122000030"</f>
        <v>20164580122000030</v>
      </c>
      <c r="R171" t="str">
        <f>"106091201506000257"</f>
        <v>106091201506000257</v>
      </c>
      <c r="S171" t="str">
        <f>"小学"</f>
        <v>小学</v>
      </c>
      <c r="T171" t="str">
        <f>"102:语文"</f>
        <v>102:语文</v>
      </c>
      <c r="U171" t="str">
        <f t="shared" si="40"/>
        <v>通过</v>
      </c>
    </row>
    <row r="172" spans="1:21" x14ac:dyDescent="0.15">
      <c r="A172" t="str">
        <f>"171"</f>
        <v>171</v>
      </c>
      <c r="B172" t="str">
        <f>"黄富有"</f>
        <v>黄富有</v>
      </c>
      <c r="C172" t="str">
        <f>"男        "</f>
        <v xml:space="preserve">男        </v>
      </c>
      <c r="D172" t="str">
        <f>"壮族"</f>
        <v>壮族</v>
      </c>
      <c r="E172" t="str">
        <f>"广西百色"</f>
        <v>广西百色</v>
      </c>
      <c r="F172" t="str">
        <f>"1989年12月"</f>
        <v>1989年12月</v>
      </c>
      <c r="G172" t="str">
        <f t="shared" si="47"/>
        <v>共青团员</v>
      </c>
      <c r="H172" t="str">
        <f>"广西师范学院师园学院数学与应用数学"</f>
        <v>广西师范学院师园学院数学与应用数学</v>
      </c>
      <c r="I172" t="str">
        <f>"数学与应用数学"</f>
        <v>数学与应用数学</v>
      </c>
      <c r="J172" t="str">
        <f t="shared" ref="J172:J180" si="48">"本科学士"</f>
        <v>本科学士</v>
      </c>
      <c r="K172" t="str">
        <f t="shared" si="39"/>
        <v>百色市右江区</v>
      </c>
      <c r="L172" t="str">
        <f>"广西百色市右江区永乐乡石平村合罡屯"</f>
        <v>广西百色市右江区永乐乡石平村合罡屯</v>
      </c>
      <c r="M172" t="str">
        <f>"2014.09.01"</f>
        <v>2014.09.01</v>
      </c>
      <c r="N172" t="str">
        <f>"2014.06.01"</f>
        <v>2014.06.01</v>
      </c>
      <c r="O172" t="str">
        <f>"是"</f>
        <v>是</v>
      </c>
      <c r="P172" t="str">
        <f>"4:高级中学"</f>
        <v>4:高级中学</v>
      </c>
      <c r="Q172" t="str">
        <f>"20164580041001155"</f>
        <v>20164580041001155</v>
      </c>
      <c r="R172" t="str">
        <f>"136421201405000635"</f>
        <v>136421201405000635</v>
      </c>
      <c r="S172" t="str">
        <f>"初中"</f>
        <v>初中</v>
      </c>
      <c r="T172" t="str">
        <f>"203:数学"</f>
        <v>203:数学</v>
      </c>
      <c r="U172" t="str">
        <f t="shared" si="40"/>
        <v>通过</v>
      </c>
    </row>
    <row r="173" spans="1:21" x14ac:dyDescent="0.15">
      <c r="A173" t="str">
        <f>"172"</f>
        <v>172</v>
      </c>
      <c r="B173" t="str">
        <f>"冯光能"</f>
        <v>冯光能</v>
      </c>
      <c r="C173" t="str">
        <f>"男        "</f>
        <v xml:space="preserve">男        </v>
      </c>
      <c r="D173" t="str">
        <f>"汉族"</f>
        <v>汉族</v>
      </c>
      <c r="E173" t="str">
        <f>"云南广南"</f>
        <v>云南广南</v>
      </c>
      <c r="F173" t="str">
        <f>"1995年01月"</f>
        <v>1995年01月</v>
      </c>
      <c r="G173" t="str">
        <f>"中共党员"</f>
        <v>中共党员</v>
      </c>
      <c r="H173" t="str">
        <f>"昆明学院化学工程与工艺"</f>
        <v>昆明学院化学工程与工艺</v>
      </c>
      <c r="I173" t="str">
        <f>"化学工程与工艺"</f>
        <v>化学工程与工艺</v>
      </c>
      <c r="J173" t="str">
        <f t="shared" si="48"/>
        <v>本科学士</v>
      </c>
      <c r="K173" t="str">
        <f t="shared" si="39"/>
        <v>百色市右江区</v>
      </c>
      <c r="L173" t="str">
        <f>"云南省文山州广南县南屏镇马街"</f>
        <v>云南省文山州广南县南屏镇马街</v>
      </c>
      <c r="M173" t="str">
        <f>""</f>
        <v/>
      </c>
      <c r="N173" t="str">
        <f>"2017.07.01"</f>
        <v>2017.07.01</v>
      </c>
      <c r="O173" t="str">
        <f>"不是"</f>
        <v>不是</v>
      </c>
      <c r="P173" t="str">
        <f>"4:高级中学"</f>
        <v>4:高级中学</v>
      </c>
      <c r="Q173" t="str">
        <f>"暂无"</f>
        <v>暂无</v>
      </c>
      <c r="R173" t="str">
        <f>"暂无"</f>
        <v>暂无</v>
      </c>
      <c r="S173" t="str">
        <f>"初中"</f>
        <v>初中</v>
      </c>
      <c r="T173" t="str">
        <f>"211:化学"</f>
        <v>211:化学</v>
      </c>
      <c r="U173" t="str">
        <f t="shared" si="40"/>
        <v>通过</v>
      </c>
    </row>
    <row r="174" spans="1:21" x14ac:dyDescent="0.15">
      <c r="A174" t="str">
        <f>"173"</f>
        <v>173</v>
      </c>
      <c r="B174" t="str">
        <f>"农素莹"</f>
        <v>农素莹</v>
      </c>
      <c r="C174" t="str">
        <f>"女        "</f>
        <v xml:space="preserve">女        </v>
      </c>
      <c r="D174" t="str">
        <f>"壮族"</f>
        <v>壮族</v>
      </c>
      <c r="E174" t="str">
        <f>"广西百色"</f>
        <v>广西百色</v>
      </c>
      <c r="F174" t="str">
        <f>"1992年02月"</f>
        <v>1992年02月</v>
      </c>
      <c r="G174" t="str">
        <f>"中共党员"</f>
        <v>中共党员</v>
      </c>
      <c r="H174" t="str">
        <f>"广西师范学院应用电子技术教育"</f>
        <v>广西师范学院应用电子技术教育</v>
      </c>
      <c r="I174" t="str">
        <f>"应用电子技术教育"</f>
        <v>应用电子技术教育</v>
      </c>
      <c r="J174" t="str">
        <f t="shared" si="48"/>
        <v>本科学士</v>
      </c>
      <c r="K174" t="str">
        <f t="shared" si="39"/>
        <v>百色市右江区</v>
      </c>
      <c r="L174" t="str">
        <f>"广西百色市右江区大楞乡平慢小学1号"</f>
        <v>广西百色市右江区大楞乡平慢小学1号</v>
      </c>
      <c r="M174" t="str">
        <f>"2013.08.01"</f>
        <v>2013.08.01</v>
      </c>
      <c r="N174" t="str">
        <f>"2013.06.01"</f>
        <v>2013.06.01</v>
      </c>
      <c r="O174" t="str">
        <f t="shared" ref="O174:O179" si="49">"是"</f>
        <v>是</v>
      </c>
      <c r="P174" t="str">
        <f>"5:中等职业学校"</f>
        <v>5:中等职业学校</v>
      </c>
      <c r="Q174" t="str">
        <f>"20134501052002584"</f>
        <v>20134501052002584</v>
      </c>
      <c r="R174" t="str">
        <f>"106031201305001430"</f>
        <v>106031201305001430</v>
      </c>
      <c r="S174" t="str">
        <f>"小学"</f>
        <v>小学</v>
      </c>
      <c r="T174" t="str">
        <f>"103:数学"</f>
        <v>103:数学</v>
      </c>
      <c r="U174" t="str">
        <f t="shared" si="40"/>
        <v>通过</v>
      </c>
    </row>
    <row r="175" spans="1:21" x14ac:dyDescent="0.15">
      <c r="A175" t="str">
        <f>"174"</f>
        <v>174</v>
      </c>
      <c r="B175" t="str">
        <f>"覃利婷"</f>
        <v>覃利婷</v>
      </c>
      <c r="C175" t="str">
        <f>"女        "</f>
        <v xml:space="preserve">女        </v>
      </c>
      <c r="D175" t="str">
        <f>"壮族"</f>
        <v>壮族</v>
      </c>
      <c r="E175" t="str">
        <f>"广西百色"</f>
        <v>广西百色</v>
      </c>
      <c r="F175" t="str">
        <f>"1994年12月"</f>
        <v>1994年12月</v>
      </c>
      <c r="G175" t="str">
        <f t="shared" ref="G175:G181" si="50">"共青团员"</f>
        <v>共青团员</v>
      </c>
      <c r="H175" t="str">
        <f>"百色学院化学"</f>
        <v>百色学院化学</v>
      </c>
      <c r="I175" t="str">
        <f>"化学"</f>
        <v>化学</v>
      </c>
      <c r="J175" t="str">
        <f t="shared" si="48"/>
        <v>本科学士</v>
      </c>
      <c r="K175" t="str">
        <f t="shared" si="39"/>
        <v>百色市右江区</v>
      </c>
      <c r="L175" t="str">
        <f>"广西百色靖西市新甲乡弄那村会合屯14-1号"</f>
        <v>广西百色靖西市新甲乡弄那村会合屯14-1号</v>
      </c>
      <c r="M175" t="str">
        <f>"2016.12.01"</f>
        <v>2016.12.01</v>
      </c>
      <c r="N175" t="str">
        <f>"2017.06.01"</f>
        <v>2017.06.01</v>
      </c>
      <c r="O175" t="str">
        <f t="shared" si="49"/>
        <v>是</v>
      </c>
      <c r="P175" t="str">
        <f>"4:高级中学"</f>
        <v>4:高级中学</v>
      </c>
      <c r="Q175" t="str">
        <f>"暂无"</f>
        <v>暂无</v>
      </c>
      <c r="R175" t="str">
        <f>"暂无"</f>
        <v>暂无</v>
      </c>
      <c r="S175" t="str">
        <f>"初中"</f>
        <v>初中</v>
      </c>
      <c r="T175" t="str">
        <f>"211:化学"</f>
        <v>211:化学</v>
      </c>
      <c r="U175" t="str">
        <f t="shared" si="40"/>
        <v>通过</v>
      </c>
    </row>
    <row r="176" spans="1:21" x14ac:dyDescent="0.15">
      <c r="A176" t="str">
        <f>"175"</f>
        <v>175</v>
      </c>
      <c r="B176" t="str">
        <f>"唐秋媚"</f>
        <v>唐秋媚</v>
      </c>
      <c r="C176" t="str">
        <f>"女        "</f>
        <v xml:space="preserve">女        </v>
      </c>
      <c r="D176" t="str">
        <f>"汉族"</f>
        <v>汉族</v>
      </c>
      <c r="E176" t="str">
        <f>"广西凤山县"</f>
        <v>广西凤山县</v>
      </c>
      <c r="F176" t="str">
        <f>"1991年08月"</f>
        <v>1991年08月</v>
      </c>
      <c r="G176" t="str">
        <f t="shared" si="50"/>
        <v>共青团员</v>
      </c>
      <c r="H176" t="str">
        <f>"百色学院思想政治教育"</f>
        <v>百色学院思想政治教育</v>
      </c>
      <c r="I176" t="str">
        <f>"思想政治教育"</f>
        <v>思想政治教育</v>
      </c>
      <c r="J176" t="str">
        <f t="shared" si="48"/>
        <v>本科学士</v>
      </c>
      <c r="K176" t="str">
        <f t="shared" si="39"/>
        <v>百色市右江区</v>
      </c>
      <c r="L176" t="str">
        <f>"广西河池市金城江区园丁小区"</f>
        <v>广西河池市金城江区园丁小区</v>
      </c>
      <c r="M176" t="str">
        <f>""</f>
        <v/>
      </c>
      <c r="N176" t="str">
        <f>"2017.06.01"</f>
        <v>2017.06.01</v>
      </c>
      <c r="O176" t="str">
        <f t="shared" si="49"/>
        <v>是</v>
      </c>
      <c r="P176" t="str">
        <f>"4:高级中学"</f>
        <v>4:高级中学</v>
      </c>
      <c r="Q176" t="str">
        <f>"暂无"</f>
        <v>暂无</v>
      </c>
      <c r="R176" t="str">
        <f>"暂无"</f>
        <v>暂无</v>
      </c>
      <c r="S176" t="str">
        <f>"初中"</f>
        <v>初中</v>
      </c>
      <c r="T176" t="str">
        <f>"299:政治"</f>
        <v>299:政治</v>
      </c>
      <c r="U176" t="str">
        <f t="shared" si="40"/>
        <v>通过</v>
      </c>
    </row>
    <row r="177" spans="1:21" x14ac:dyDescent="0.15">
      <c r="A177" t="str">
        <f>"176"</f>
        <v>176</v>
      </c>
      <c r="B177" t="str">
        <f>"陆正丽"</f>
        <v>陆正丽</v>
      </c>
      <c r="C177" t="str">
        <f>"女        "</f>
        <v xml:space="preserve">女        </v>
      </c>
      <c r="D177" t="str">
        <f t="shared" ref="D177:D188" si="51">"壮族"</f>
        <v>壮族</v>
      </c>
      <c r="E177" t="str">
        <f>"云南省文山州广南县"</f>
        <v>云南省文山州广南县</v>
      </c>
      <c r="F177" t="str">
        <f>"1993年05月"</f>
        <v>1993年05月</v>
      </c>
      <c r="G177" t="str">
        <f t="shared" si="50"/>
        <v>共青团员</v>
      </c>
      <c r="H177" t="str">
        <f>"普洱学院美术学"</f>
        <v>普洱学院美术学</v>
      </c>
      <c r="I177" t="str">
        <f>"美术学"</f>
        <v>美术学</v>
      </c>
      <c r="J177" t="str">
        <f t="shared" si="48"/>
        <v>本科学士</v>
      </c>
      <c r="K177" t="str">
        <f t="shared" si="39"/>
        <v>百色市右江区</v>
      </c>
      <c r="L177" t="str">
        <f>"云南省文山州广南县旧莫乡"</f>
        <v>云南省文山州广南县旧莫乡</v>
      </c>
      <c r="M177" t="str">
        <f>"2016.09.01"</f>
        <v>2016.09.01</v>
      </c>
      <c r="N177" t="str">
        <f>"2016.07.01"</f>
        <v>2016.07.01</v>
      </c>
      <c r="O177" t="str">
        <f t="shared" si="49"/>
        <v>是</v>
      </c>
      <c r="P177" t="str">
        <f>"4:高级中学"</f>
        <v>4:高级中学</v>
      </c>
      <c r="Q177" t="str">
        <f>"20165308242000117"</f>
        <v>20165308242000117</v>
      </c>
      <c r="R177" t="str">
        <f>"106851201605000535"</f>
        <v>106851201605000535</v>
      </c>
      <c r="S177" t="str">
        <f>"小学"</f>
        <v>小学</v>
      </c>
      <c r="T177" t="str">
        <f>"108:美术"</f>
        <v>108:美术</v>
      </c>
      <c r="U177" t="str">
        <f t="shared" si="40"/>
        <v>通过</v>
      </c>
    </row>
    <row r="178" spans="1:21" x14ac:dyDescent="0.15">
      <c r="A178" t="str">
        <f>"177"</f>
        <v>177</v>
      </c>
      <c r="B178" t="str">
        <f>"梁曦"</f>
        <v>梁曦</v>
      </c>
      <c r="C178" t="str">
        <f>"女        "</f>
        <v xml:space="preserve">女        </v>
      </c>
      <c r="D178" t="str">
        <f t="shared" si="51"/>
        <v>壮族</v>
      </c>
      <c r="E178" t="str">
        <f>"广西"</f>
        <v>广西</v>
      </c>
      <c r="F178" t="str">
        <f>"1991年10月"</f>
        <v>1991年10月</v>
      </c>
      <c r="G178" t="str">
        <f t="shared" si="50"/>
        <v>共青团员</v>
      </c>
      <c r="H178" t="str">
        <f>"商丘师范学院汉语言文学"</f>
        <v>商丘师范学院汉语言文学</v>
      </c>
      <c r="I178" t="str">
        <f>"汉语言文学"</f>
        <v>汉语言文学</v>
      </c>
      <c r="J178" t="str">
        <f t="shared" si="48"/>
        <v>本科学士</v>
      </c>
      <c r="K178" t="str">
        <f t="shared" si="39"/>
        <v>百色市右江区</v>
      </c>
      <c r="L178" t="str">
        <f>"云南省蒙自市银河路明宇小区"</f>
        <v>云南省蒙自市银河路明宇小区</v>
      </c>
      <c r="M178" t="str">
        <f>""</f>
        <v/>
      </c>
      <c r="N178" t="str">
        <f>"2016.07.01"</f>
        <v>2016.07.01</v>
      </c>
      <c r="O178" t="str">
        <f t="shared" si="49"/>
        <v>是</v>
      </c>
      <c r="P178" t="str">
        <f>"4:高级中学"</f>
        <v>4:高级中学</v>
      </c>
      <c r="Q178" t="str">
        <f>"20164110842001437"</f>
        <v>20164110842001437</v>
      </c>
      <c r="R178" t="str">
        <f>"104831201605100076"</f>
        <v>104831201605100076</v>
      </c>
      <c r="S178" t="str">
        <f>"初中"</f>
        <v>初中</v>
      </c>
      <c r="T178" t="str">
        <f>"202:语文"</f>
        <v>202:语文</v>
      </c>
      <c r="U178" t="str">
        <f t="shared" si="40"/>
        <v>通过</v>
      </c>
    </row>
    <row r="179" spans="1:21" x14ac:dyDescent="0.15">
      <c r="A179" t="str">
        <f>"178"</f>
        <v>178</v>
      </c>
      <c r="B179" t="str">
        <f>"农威"</f>
        <v>农威</v>
      </c>
      <c r="C179" t="str">
        <f>"男        "</f>
        <v xml:space="preserve">男        </v>
      </c>
      <c r="D179" t="str">
        <f t="shared" si="51"/>
        <v>壮族</v>
      </c>
      <c r="E179" t="str">
        <f>"广西田东县"</f>
        <v>广西田东县</v>
      </c>
      <c r="F179" t="str">
        <f>"1992年09月"</f>
        <v>1992年09月</v>
      </c>
      <c r="G179" t="str">
        <f t="shared" si="50"/>
        <v>共青团员</v>
      </c>
      <c r="H179" t="str">
        <f>"百色学院思想政治教育"</f>
        <v>百色学院思想政治教育</v>
      </c>
      <c r="I179" t="str">
        <f>"思想政治教育"</f>
        <v>思想政治教育</v>
      </c>
      <c r="J179" t="str">
        <f t="shared" si="48"/>
        <v>本科学士</v>
      </c>
      <c r="K179" t="str">
        <f t="shared" si="39"/>
        <v>百色市右江区</v>
      </c>
      <c r="L179" t="str">
        <f>"广西百色市田东县江城镇大诺村那架屯"</f>
        <v>广西百色市田东县江城镇大诺村那架屯</v>
      </c>
      <c r="M179" t="str">
        <f>""</f>
        <v/>
      </c>
      <c r="N179" t="str">
        <f>"2017.06.01"</f>
        <v>2017.06.01</v>
      </c>
      <c r="O179" t="str">
        <f t="shared" si="49"/>
        <v>是</v>
      </c>
      <c r="P179" t="str">
        <f>"4:高级中学"</f>
        <v>4:高级中学</v>
      </c>
      <c r="Q179" t="str">
        <f>"2017届毕业生填暂无"</f>
        <v>2017届毕业生填暂无</v>
      </c>
      <c r="R179" t="str">
        <f>"2017届毕业生填暂无"</f>
        <v>2017届毕业生填暂无</v>
      </c>
      <c r="S179" t="str">
        <f>"初中"</f>
        <v>初中</v>
      </c>
      <c r="T179" t="str">
        <f>"299:政治"</f>
        <v>299:政治</v>
      </c>
      <c r="U179" t="str">
        <f t="shared" si="40"/>
        <v>通过</v>
      </c>
    </row>
    <row r="180" spans="1:21" x14ac:dyDescent="0.15">
      <c r="A180" t="str">
        <f>"179"</f>
        <v>179</v>
      </c>
      <c r="B180" t="str">
        <f>"黄许涵"</f>
        <v>黄许涵</v>
      </c>
      <c r="C180" t="str">
        <f t="shared" ref="C180:C186" si="52">"女        "</f>
        <v xml:space="preserve">女        </v>
      </c>
      <c r="D180" t="str">
        <f t="shared" si="51"/>
        <v>壮族</v>
      </c>
      <c r="E180" t="str">
        <f>"广西百色"</f>
        <v>广西百色</v>
      </c>
      <c r="F180" t="str">
        <f>"1993年10月"</f>
        <v>1993年10月</v>
      </c>
      <c r="G180" t="str">
        <f t="shared" si="50"/>
        <v>共青团员</v>
      </c>
      <c r="H180" t="str">
        <f>"广西财经学院市场营销"</f>
        <v>广西财经学院市场营销</v>
      </c>
      <c r="I180" t="str">
        <f>"市场营销"</f>
        <v>市场营销</v>
      </c>
      <c r="J180" t="str">
        <f t="shared" si="48"/>
        <v>本科学士</v>
      </c>
      <c r="K180" t="str">
        <f t="shared" si="39"/>
        <v>百色市右江区</v>
      </c>
      <c r="L180" t="str">
        <f>"广西百色市城东大道平安路10号"</f>
        <v>广西百色市城东大道平安路10号</v>
      </c>
      <c r="M180" t="str">
        <f>""</f>
        <v/>
      </c>
      <c r="N180" t="str">
        <f>"2017.07.01"</f>
        <v>2017.07.01</v>
      </c>
      <c r="O180" t="str">
        <f>"不是"</f>
        <v>不是</v>
      </c>
      <c r="P180" t="str">
        <f>"0:暂未取得"</f>
        <v>0:暂未取得</v>
      </c>
      <c r="Q180" t="str">
        <f>"2017届毕业生填暂无"</f>
        <v>2017届毕业生填暂无</v>
      </c>
      <c r="R180" t="str">
        <f>"2017届毕业生填暂无"</f>
        <v>2017届毕业生填暂无</v>
      </c>
      <c r="S180" t="str">
        <f t="shared" ref="S180:S185" si="53">"小学"</f>
        <v>小学</v>
      </c>
      <c r="T180" t="str">
        <f>"102:语文"</f>
        <v>102:语文</v>
      </c>
      <c r="U180" t="str">
        <f t="shared" si="40"/>
        <v>通过</v>
      </c>
    </row>
    <row r="181" spans="1:21" x14ac:dyDescent="0.15">
      <c r="A181" t="str">
        <f>"180"</f>
        <v>180</v>
      </c>
      <c r="B181" t="str">
        <f>"黄丽婵"</f>
        <v>黄丽婵</v>
      </c>
      <c r="C181" t="str">
        <f t="shared" si="52"/>
        <v xml:space="preserve">女        </v>
      </c>
      <c r="D181" t="str">
        <f t="shared" si="51"/>
        <v>壮族</v>
      </c>
      <c r="E181" t="str">
        <f>"广西百色"</f>
        <v>广西百色</v>
      </c>
      <c r="F181" t="str">
        <f>"1996年04月"</f>
        <v>1996年04月</v>
      </c>
      <c r="G181" t="str">
        <f t="shared" si="50"/>
        <v>共青团员</v>
      </c>
      <c r="H181" t="str">
        <f>"广西幼儿师范高等专科学校学前教育"</f>
        <v>广西幼儿师范高等专科学校学前教育</v>
      </c>
      <c r="I181" t="str">
        <f>"学前教育"</f>
        <v>学前教育</v>
      </c>
      <c r="J181" t="str">
        <f>"专科无学位"</f>
        <v>专科无学位</v>
      </c>
      <c r="K181" t="str">
        <f t="shared" si="39"/>
        <v>百色市右江区</v>
      </c>
      <c r="L181" t="str">
        <f>"广西百色市右江区六塘芒果示范场"</f>
        <v>广西百色市右江区六塘芒果示范场</v>
      </c>
      <c r="M181" t="str">
        <f>"2016.07.01"</f>
        <v>2016.07.01</v>
      </c>
      <c r="N181" t="str">
        <f>"2017.06.01"</f>
        <v>2017.06.01</v>
      </c>
      <c r="O181" t="str">
        <f>"是"</f>
        <v>是</v>
      </c>
      <c r="P181" t="str">
        <f>"1:幼儿园"</f>
        <v>1:幼儿园</v>
      </c>
      <c r="Q181" t="str">
        <f>"无"</f>
        <v>无</v>
      </c>
      <c r="R181" t="str">
        <f>"无"</f>
        <v>无</v>
      </c>
      <c r="S181" t="str">
        <f t="shared" si="53"/>
        <v>小学</v>
      </c>
      <c r="T181" t="str">
        <f>"103:数学"</f>
        <v>103:数学</v>
      </c>
      <c r="U181" t="str">
        <f t="shared" si="40"/>
        <v>通过</v>
      </c>
    </row>
    <row r="182" spans="1:21" x14ac:dyDescent="0.15">
      <c r="A182" t="str">
        <f>"181"</f>
        <v>181</v>
      </c>
      <c r="B182" t="str">
        <f>"黄敏"</f>
        <v>黄敏</v>
      </c>
      <c r="C182" t="str">
        <f t="shared" si="52"/>
        <v xml:space="preserve">女        </v>
      </c>
      <c r="D182" t="str">
        <f t="shared" si="51"/>
        <v>壮族</v>
      </c>
      <c r="E182" t="str">
        <f>"广西百色"</f>
        <v>广西百色</v>
      </c>
      <c r="F182" t="str">
        <f>"1997年11月"</f>
        <v>1997年11月</v>
      </c>
      <c r="G182" t="str">
        <f>"群众"</f>
        <v>群众</v>
      </c>
      <c r="H182" t="str">
        <f>"广西科技师范学院学前教育"</f>
        <v>广西科技师范学院学前教育</v>
      </c>
      <c r="I182" t="str">
        <f>"学前教育"</f>
        <v>学前教育</v>
      </c>
      <c r="J182" t="str">
        <f>"专科无学位"</f>
        <v>专科无学位</v>
      </c>
      <c r="K182" t="str">
        <f t="shared" si="39"/>
        <v>百色市右江区</v>
      </c>
      <c r="L182" t="str">
        <f>"广西百色市右江区太平街隆平巷14号"</f>
        <v>广西百色市右江区太平街隆平巷14号</v>
      </c>
      <c r="M182" t="str">
        <f>"2016.09.01"</f>
        <v>2016.09.01</v>
      </c>
      <c r="N182" t="str">
        <f>"2017.06.01"</f>
        <v>2017.06.01</v>
      </c>
      <c r="O182" t="str">
        <f>"是"</f>
        <v>是</v>
      </c>
      <c r="P182" t="str">
        <f>"1:幼儿园"</f>
        <v>1:幼儿园</v>
      </c>
      <c r="Q182" t="str">
        <f>"暂无"</f>
        <v>暂无</v>
      </c>
      <c r="R182" t="str">
        <f>"暂无"</f>
        <v>暂无</v>
      </c>
      <c r="S182" t="str">
        <f t="shared" si="53"/>
        <v>小学</v>
      </c>
      <c r="T182" t="str">
        <f>"102:语文"</f>
        <v>102:语文</v>
      </c>
      <c r="U182" t="str">
        <f t="shared" si="40"/>
        <v>通过</v>
      </c>
    </row>
    <row r="183" spans="1:21" x14ac:dyDescent="0.15">
      <c r="A183" t="str">
        <f>"182"</f>
        <v>182</v>
      </c>
      <c r="B183" t="str">
        <f>"唐艺源"</f>
        <v>唐艺源</v>
      </c>
      <c r="C183" t="str">
        <f t="shared" si="52"/>
        <v xml:space="preserve">女        </v>
      </c>
      <c r="D183" t="str">
        <f t="shared" si="51"/>
        <v>壮族</v>
      </c>
      <c r="E183" t="str">
        <f>"广西百色"</f>
        <v>广西百色</v>
      </c>
      <c r="F183" t="str">
        <f>"1996年09月"</f>
        <v>1996年09月</v>
      </c>
      <c r="G183" t="str">
        <f>"共青团员"</f>
        <v>共青团员</v>
      </c>
      <c r="H183" t="str">
        <f>"百色学院小学教育"</f>
        <v>百色学院小学教育</v>
      </c>
      <c r="I183" t="str">
        <f>"小学教育"</f>
        <v>小学教育</v>
      </c>
      <c r="J183" t="str">
        <f>"专科无学位"</f>
        <v>专科无学位</v>
      </c>
      <c r="K183" t="str">
        <f t="shared" si="39"/>
        <v>百色市右江区</v>
      </c>
      <c r="L183" t="str">
        <f>"广西百色市右江区华侨经济开发区十一区6—2号"</f>
        <v>广西百色市右江区华侨经济开发区十一区6—2号</v>
      </c>
      <c r="M183" t="str">
        <f>""</f>
        <v/>
      </c>
      <c r="N183" t="str">
        <f>"2017.06.01"</f>
        <v>2017.06.01</v>
      </c>
      <c r="O183" t="str">
        <f>"是"</f>
        <v>是</v>
      </c>
      <c r="P183" t="str">
        <f>"0:暂未取得"</f>
        <v>0:暂未取得</v>
      </c>
      <c r="Q183" t="str">
        <f>"2017-6-13"</f>
        <v>2017-6-13</v>
      </c>
      <c r="R183" t="str">
        <f>"2017-6-13"</f>
        <v>2017-6-13</v>
      </c>
      <c r="S183" t="str">
        <f t="shared" si="53"/>
        <v>小学</v>
      </c>
      <c r="T183" t="str">
        <f>"102:语文"</f>
        <v>102:语文</v>
      </c>
      <c r="U183" t="str">
        <f t="shared" si="40"/>
        <v>通过</v>
      </c>
    </row>
    <row r="184" spans="1:21" x14ac:dyDescent="0.15">
      <c r="A184" t="str">
        <f>"183"</f>
        <v>183</v>
      </c>
      <c r="B184" t="str">
        <f>"扬彩秀"</f>
        <v>扬彩秀</v>
      </c>
      <c r="C184" t="str">
        <f t="shared" si="52"/>
        <v xml:space="preserve">女        </v>
      </c>
      <c r="D184" t="str">
        <f t="shared" si="51"/>
        <v>壮族</v>
      </c>
      <c r="E184" t="str">
        <f>"广西百色"</f>
        <v>广西百色</v>
      </c>
      <c r="F184" t="str">
        <f>"1992年12月"</f>
        <v>1992年12月</v>
      </c>
      <c r="G184" t="str">
        <f>"共青团员"</f>
        <v>共青团员</v>
      </c>
      <c r="H184" t="str">
        <f>"广西幼儿师范高等专科学校音乐教育"</f>
        <v>广西幼儿师范高等专科学校音乐教育</v>
      </c>
      <c r="I184" t="str">
        <f>"音乐教育"</f>
        <v>音乐教育</v>
      </c>
      <c r="J184" t="str">
        <f>"专科无学位"</f>
        <v>专科无学位</v>
      </c>
      <c r="K184" t="str">
        <f t="shared" si="39"/>
        <v>百色市右江区</v>
      </c>
      <c r="L184" t="str">
        <f>"广西省百色市右江区龙景街道办事处凡平村那娘屯"</f>
        <v>广西省百色市右江区龙景街道办事处凡平村那娘屯</v>
      </c>
      <c r="M184" t="str">
        <f>"2014.09.01"</f>
        <v>2014.09.01</v>
      </c>
      <c r="N184" t="str">
        <f>"2014.06.01"</f>
        <v>2014.06.01</v>
      </c>
      <c r="O184" t="str">
        <f>"是"</f>
        <v>是</v>
      </c>
      <c r="P184" t="str">
        <f>"2:小学"</f>
        <v>2:小学</v>
      </c>
      <c r="Q184" t="str">
        <f>"20144501222001928"</f>
        <v>20144501222001928</v>
      </c>
      <c r="R184" t="str">
        <f>"142201201406000925"</f>
        <v>142201201406000925</v>
      </c>
      <c r="S184" t="str">
        <f t="shared" si="53"/>
        <v>小学</v>
      </c>
      <c r="T184" t="str">
        <f>"107:音乐"</f>
        <v>107:音乐</v>
      </c>
      <c r="U184" t="str">
        <f t="shared" si="40"/>
        <v>通过</v>
      </c>
    </row>
    <row r="185" spans="1:21" x14ac:dyDescent="0.15">
      <c r="A185" t="str">
        <f>"184"</f>
        <v>184</v>
      </c>
      <c r="B185" t="str">
        <f>"何超立"</f>
        <v>何超立</v>
      </c>
      <c r="C185" t="str">
        <f t="shared" si="52"/>
        <v xml:space="preserve">女        </v>
      </c>
      <c r="D185" t="str">
        <f t="shared" si="51"/>
        <v>壮族</v>
      </c>
      <c r="E185" t="str">
        <f>"广西省百色市右江区"</f>
        <v>广西省百色市右江区</v>
      </c>
      <c r="F185" t="str">
        <f>"1990年01月"</f>
        <v>1990年01月</v>
      </c>
      <c r="G185" t="str">
        <f>"共青团员"</f>
        <v>共青团员</v>
      </c>
      <c r="H185" t="str">
        <f>"广西师范大学漓江学院泰语"</f>
        <v>广西师范大学漓江学院泰语</v>
      </c>
      <c r="I185" t="str">
        <f>"泰语"</f>
        <v>泰语</v>
      </c>
      <c r="J185" t="str">
        <f t="shared" ref="J185:J194" si="54">"本科学士"</f>
        <v>本科学士</v>
      </c>
      <c r="K185" t="str">
        <f t="shared" si="39"/>
        <v>百色市右江区</v>
      </c>
      <c r="L185" t="str">
        <f>"广西百色市右江区金怡巷33号"</f>
        <v>广西百色市右江区金怡巷33号</v>
      </c>
      <c r="M185" t="str">
        <f>"2014.10.01"</f>
        <v>2014.10.01</v>
      </c>
      <c r="N185" t="str">
        <f>"2014.07.01"</f>
        <v>2014.07.01</v>
      </c>
      <c r="O185" t="str">
        <f>"不是"</f>
        <v>不是</v>
      </c>
      <c r="P185" t="str">
        <f>"2:小学"</f>
        <v>2:小学</v>
      </c>
      <c r="Q185" t="str">
        <f>"有（正在办理中）"</f>
        <v>有（正在办理中）</v>
      </c>
      <c r="R185" t="str">
        <f>"136411201405001616"</f>
        <v>136411201405001616</v>
      </c>
      <c r="S185" t="str">
        <f t="shared" si="53"/>
        <v>小学</v>
      </c>
      <c r="T185" t="str">
        <f>"102:语文"</f>
        <v>102:语文</v>
      </c>
      <c r="U185" t="str">
        <f t="shared" si="40"/>
        <v>通过</v>
      </c>
    </row>
    <row r="186" spans="1:21" x14ac:dyDescent="0.15">
      <c r="A186" t="str">
        <f>"185"</f>
        <v>185</v>
      </c>
      <c r="B186" t="str">
        <f>"农锦席"</f>
        <v>农锦席</v>
      </c>
      <c r="C186" t="str">
        <f t="shared" si="52"/>
        <v xml:space="preserve">女        </v>
      </c>
      <c r="D186" t="str">
        <f t="shared" si="51"/>
        <v>壮族</v>
      </c>
      <c r="E186" t="str">
        <f>"广西那坡"</f>
        <v>广西那坡</v>
      </c>
      <c r="F186" t="str">
        <f>"1994年01月"</f>
        <v>1994年01月</v>
      </c>
      <c r="G186" t="str">
        <f>"共青团员"</f>
        <v>共青团员</v>
      </c>
      <c r="H186" t="str">
        <f>"百色学院数学与应用数学金融数学"</f>
        <v>百色学院数学与应用数学金融数学</v>
      </c>
      <c r="I186" t="str">
        <f>"数学与应用数学金融数学"</f>
        <v>数学与应用数学金融数学</v>
      </c>
      <c r="J186" t="str">
        <f t="shared" si="54"/>
        <v>本科学士</v>
      </c>
      <c r="K186" t="str">
        <f t="shared" si="39"/>
        <v>百色市右江区</v>
      </c>
      <c r="L186" t="str">
        <f>"广西那坡县龙合乡德灵村德华屯72号"</f>
        <v>广西那坡县龙合乡德灵村德华屯72号</v>
      </c>
      <c r="M186" t="str">
        <f>"2017.03.01"</f>
        <v>2017.03.01</v>
      </c>
      <c r="N186" t="str">
        <f>"2017.06.01"</f>
        <v>2017.06.01</v>
      </c>
      <c r="O186" t="str">
        <f>"不是"</f>
        <v>不是</v>
      </c>
      <c r="P186" t="str">
        <f>"0:暂未取得"</f>
        <v>0:暂未取得</v>
      </c>
      <c r="Q186" t="str">
        <f>"暂无"</f>
        <v>暂无</v>
      </c>
      <c r="R186" t="str">
        <f>"暂无"</f>
        <v>暂无</v>
      </c>
      <c r="S186" t="str">
        <f>"初中"</f>
        <v>初中</v>
      </c>
      <c r="T186" t="str">
        <f>"203:数学"</f>
        <v>203:数学</v>
      </c>
      <c r="U186" t="str">
        <f t="shared" si="40"/>
        <v>通过</v>
      </c>
    </row>
    <row r="187" spans="1:21" x14ac:dyDescent="0.15">
      <c r="A187" t="str">
        <f>"186"</f>
        <v>186</v>
      </c>
      <c r="B187" t="str">
        <f>"黄克胜"</f>
        <v>黄克胜</v>
      </c>
      <c r="C187" t="str">
        <f>"男        "</f>
        <v xml:space="preserve">男        </v>
      </c>
      <c r="D187" t="str">
        <f t="shared" si="51"/>
        <v>壮族</v>
      </c>
      <c r="E187" t="str">
        <f>"广西靖西"</f>
        <v>广西靖西</v>
      </c>
      <c r="F187" t="str">
        <f>"1994年09月"</f>
        <v>1994年09月</v>
      </c>
      <c r="G187" t="str">
        <f>"群众"</f>
        <v>群众</v>
      </c>
      <c r="H187" t="str">
        <f>"广西民族师范学院体育教育"</f>
        <v>广西民族师范学院体育教育</v>
      </c>
      <c r="I187" t="str">
        <f>"体育教育"</f>
        <v>体育教育</v>
      </c>
      <c r="J187" t="str">
        <f t="shared" si="54"/>
        <v>本科学士</v>
      </c>
      <c r="K187" t="str">
        <f t="shared" si="39"/>
        <v>百色市右江区</v>
      </c>
      <c r="L187" t="str">
        <f>"广西靖西市同德乡足表村帖思屯31号"</f>
        <v>广西靖西市同德乡足表村帖思屯31号</v>
      </c>
      <c r="M187" t="str">
        <f>""</f>
        <v/>
      </c>
      <c r="N187" t="str">
        <f>"2017.07.01"</f>
        <v>2017.07.01</v>
      </c>
      <c r="O187" t="str">
        <f>"是"</f>
        <v>是</v>
      </c>
      <c r="P187" t="str">
        <f>"4:高级中学"</f>
        <v>4:高级中学</v>
      </c>
      <c r="Q187" t="str">
        <f>"暂无"</f>
        <v>暂无</v>
      </c>
      <c r="R187" t="str">
        <f>"暂无"</f>
        <v>暂无</v>
      </c>
      <c r="S187" t="str">
        <f>"初中"</f>
        <v>初中</v>
      </c>
      <c r="T187" t="str">
        <f>"212:体育"</f>
        <v>212:体育</v>
      </c>
      <c r="U187" t="str">
        <f t="shared" si="40"/>
        <v>通过</v>
      </c>
    </row>
    <row r="188" spans="1:21" x14ac:dyDescent="0.15">
      <c r="A188" t="str">
        <f>"187"</f>
        <v>187</v>
      </c>
      <c r="B188" t="str">
        <f>"陆丽娟"</f>
        <v>陆丽娟</v>
      </c>
      <c r="C188" t="str">
        <f>"女        "</f>
        <v xml:space="preserve">女        </v>
      </c>
      <c r="D188" t="str">
        <f t="shared" si="51"/>
        <v>壮族</v>
      </c>
      <c r="E188" t="str">
        <f>"广西田东县"</f>
        <v>广西田东县</v>
      </c>
      <c r="F188" t="str">
        <f>"1992年11月"</f>
        <v>1992年11月</v>
      </c>
      <c r="G188" t="str">
        <f>"共青团员"</f>
        <v>共青团员</v>
      </c>
      <c r="H188" t="str">
        <f>"百色学院汉语言文学"</f>
        <v>百色学院汉语言文学</v>
      </c>
      <c r="I188" t="str">
        <f>"汉语言文学"</f>
        <v>汉语言文学</v>
      </c>
      <c r="J188" t="str">
        <f t="shared" si="54"/>
        <v>本科学士</v>
      </c>
      <c r="K188" t="str">
        <f t="shared" si="39"/>
        <v>百色市右江区</v>
      </c>
      <c r="L188" t="str">
        <f>"广西百色市田东县朔良镇灵龙村灵六屯"</f>
        <v>广西百色市田东县朔良镇灵龙村灵六屯</v>
      </c>
      <c r="M188" t="str">
        <f>""</f>
        <v/>
      </c>
      <c r="N188" t="str">
        <f>"2017.06.01"</f>
        <v>2017.06.01</v>
      </c>
      <c r="O188" t="str">
        <f>"是"</f>
        <v>是</v>
      </c>
      <c r="P188" t="str">
        <f>"0:暂未取得"</f>
        <v>0:暂未取得</v>
      </c>
      <c r="Q188" t="str">
        <f>"2017届毕业生填暂无"</f>
        <v>2017届毕业生填暂无</v>
      </c>
      <c r="R188" t="str">
        <f>"2017届毕业生填暂无"</f>
        <v>2017届毕业生填暂无</v>
      </c>
      <c r="S188" t="str">
        <f>"初中"</f>
        <v>初中</v>
      </c>
      <c r="T188" t="str">
        <f>"202:语文"</f>
        <v>202:语文</v>
      </c>
      <c r="U188" t="str">
        <f t="shared" si="40"/>
        <v>通过</v>
      </c>
    </row>
    <row r="189" spans="1:21" x14ac:dyDescent="0.15">
      <c r="A189" t="str">
        <f>"188"</f>
        <v>188</v>
      </c>
      <c r="B189" t="str">
        <f>"陈宗立"</f>
        <v>陈宗立</v>
      </c>
      <c r="C189" t="str">
        <f>"男        "</f>
        <v xml:space="preserve">男        </v>
      </c>
      <c r="D189" t="str">
        <f>"汉族"</f>
        <v>汉族</v>
      </c>
      <c r="E189" t="str">
        <f>"北海市合浦县"</f>
        <v>北海市合浦县</v>
      </c>
      <c r="F189" t="str">
        <f>"1993年03月"</f>
        <v>1993年03月</v>
      </c>
      <c r="G189" t="str">
        <f>"中共党员"</f>
        <v>中共党员</v>
      </c>
      <c r="H189" t="str">
        <f>"百色学院艺术设计"</f>
        <v>百色学院艺术设计</v>
      </c>
      <c r="I189" t="str">
        <f>"艺术设计"</f>
        <v>艺术设计</v>
      </c>
      <c r="J189" t="str">
        <f t="shared" si="54"/>
        <v>本科学士</v>
      </c>
      <c r="K189" t="str">
        <f t="shared" si="39"/>
        <v>百色市右江区</v>
      </c>
      <c r="L189" t="str">
        <f>"广西百色市西林县八达镇第二开发区城北三巷157号"</f>
        <v>广西百色市西林县八达镇第二开发区城北三巷157号</v>
      </c>
      <c r="M189" t="str">
        <f>"2015.09.01"</f>
        <v>2015.09.01</v>
      </c>
      <c r="N189" t="str">
        <f>"2016.07.01"</f>
        <v>2016.07.01</v>
      </c>
      <c r="O189" t="str">
        <f>"不是"</f>
        <v>不是</v>
      </c>
      <c r="P189" t="str">
        <f t="shared" ref="P189:P194" si="55">"4:高级中学"</f>
        <v>4:高级中学</v>
      </c>
      <c r="Q189" t="str">
        <f>"2016454033824"</f>
        <v>2016454033824</v>
      </c>
      <c r="R189" t="str">
        <f>"106091201505001142"</f>
        <v>106091201505001142</v>
      </c>
      <c r="S189" t="str">
        <f>"小学"</f>
        <v>小学</v>
      </c>
      <c r="T189" t="str">
        <f>"108:美术"</f>
        <v>108:美术</v>
      </c>
      <c r="U189" t="str">
        <f t="shared" si="40"/>
        <v>通过</v>
      </c>
    </row>
    <row r="190" spans="1:21" x14ac:dyDescent="0.15">
      <c r="A190" t="str">
        <f>"189"</f>
        <v>189</v>
      </c>
      <c r="B190" t="str">
        <f>"伍佳阳"</f>
        <v>伍佳阳</v>
      </c>
      <c r="C190" t="str">
        <f>"男        "</f>
        <v xml:space="preserve">男        </v>
      </c>
      <c r="D190" t="str">
        <f>"汉族"</f>
        <v>汉族</v>
      </c>
      <c r="E190" t="str">
        <f>"广西梧州"</f>
        <v>广西梧州</v>
      </c>
      <c r="F190" t="str">
        <f>"1993年10月"</f>
        <v>1993年10月</v>
      </c>
      <c r="G190" t="str">
        <f>"共青团员"</f>
        <v>共青团员</v>
      </c>
      <c r="H190" t="str">
        <f>"百色学院思想政治教育"</f>
        <v>百色学院思想政治教育</v>
      </c>
      <c r="I190" t="str">
        <f>"思想政治教育"</f>
        <v>思想政治教育</v>
      </c>
      <c r="J190" t="str">
        <f t="shared" si="54"/>
        <v>本科学士</v>
      </c>
      <c r="K190" t="str">
        <f t="shared" si="39"/>
        <v>百色市右江区</v>
      </c>
      <c r="L190" t="str">
        <f>"广西梧州市蒙山县高堆村上阳一组189号"</f>
        <v>广西梧州市蒙山县高堆村上阳一组189号</v>
      </c>
      <c r="M190" t="str">
        <f>""</f>
        <v/>
      </c>
      <c r="N190" t="str">
        <f>"2017.07.01"</f>
        <v>2017.07.01</v>
      </c>
      <c r="O190" t="str">
        <f>"是"</f>
        <v>是</v>
      </c>
      <c r="P190" t="str">
        <f t="shared" si="55"/>
        <v>4:高级中学</v>
      </c>
      <c r="Q190" t="str">
        <f>"无"</f>
        <v>无</v>
      </c>
      <c r="R190" t="str">
        <f>"无"</f>
        <v>无</v>
      </c>
      <c r="S190" t="str">
        <f>"初中"</f>
        <v>初中</v>
      </c>
      <c r="T190" t="str">
        <f>"299:政治"</f>
        <v>299:政治</v>
      </c>
      <c r="U190" t="str">
        <f t="shared" si="40"/>
        <v>通过</v>
      </c>
    </row>
    <row r="191" spans="1:21" x14ac:dyDescent="0.15">
      <c r="A191" t="str">
        <f>"190"</f>
        <v>190</v>
      </c>
      <c r="B191" t="str">
        <f>"雷秀锦"</f>
        <v>雷秀锦</v>
      </c>
      <c r="C191" t="str">
        <f t="shared" ref="C191:C202" si="56">"女        "</f>
        <v xml:space="preserve">女        </v>
      </c>
      <c r="D191" t="str">
        <f>"壮族"</f>
        <v>壮族</v>
      </c>
      <c r="E191" t="str">
        <f>"广西那坡县"</f>
        <v>广西那坡县</v>
      </c>
      <c r="F191" t="str">
        <f>"1995年07月"</f>
        <v>1995年07月</v>
      </c>
      <c r="G191" t="str">
        <f>"共青团员"</f>
        <v>共青团员</v>
      </c>
      <c r="H191" t="str">
        <f>"百色学院汉语言文学专业"</f>
        <v>百色学院汉语言文学专业</v>
      </c>
      <c r="I191" t="str">
        <f>"汉语言文学专业"</f>
        <v>汉语言文学专业</v>
      </c>
      <c r="J191" t="str">
        <f t="shared" si="54"/>
        <v>本科学士</v>
      </c>
      <c r="K191" t="str">
        <f t="shared" si="39"/>
        <v>百色市右江区</v>
      </c>
      <c r="L191" t="str">
        <f>"广西那坡县龙合乡龙合村"</f>
        <v>广西那坡县龙合乡龙合村</v>
      </c>
      <c r="M191" t="str">
        <f>""</f>
        <v/>
      </c>
      <c r="N191" t="str">
        <f>"2017.07.01"</f>
        <v>2017.07.01</v>
      </c>
      <c r="O191" t="str">
        <f>"是"</f>
        <v>是</v>
      </c>
      <c r="P191" t="str">
        <f t="shared" si="55"/>
        <v>4:高级中学</v>
      </c>
      <c r="Q191" t="str">
        <f>"2017届毕业生填暂无"</f>
        <v>2017届毕业生填暂无</v>
      </c>
      <c r="R191" t="str">
        <f>"2017届毕业生填暂无"</f>
        <v>2017届毕业生填暂无</v>
      </c>
      <c r="S191" t="str">
        <f>"初中"</f>
        <v>初中</v>
      </c>
      <c r="T191" t="str">
        <f>"202:语文"</f>
        <v>202:语文</v>
      </c>
      <c r="U191" t="str">
        <f t="shared" si="40"/>
        <v>通过</v>
      </c>
    </row>
    <row r="192" spans="1:21" x14ac:dyDescent="0.15">
      <c r="A192" t="str">
        <f>"191"</f>
        <v>191</v>
      </c>
      <c r="B192" t="str">
        <f>"李姿彤"</f>
        <v>李姿彤</v>
      </c>
      <c r="C192" t="str">
        <f t="shared" si="56"/>
        <v xml:space="preserve">女        </v>
      </c>
      <c r="D192" t="str">
        <f>"壮族"</f>
        <v>壮族</v>
      </c>
      <c r="E192" t="str">
        <f>"田林县"</f>
        <v>田林县</v>
      </c>
      <c r="F192" t="str">
        <f>"1991年04月"</f>
        <v>1991年04月</v>
      </c>
      <c r="G192" t="str">
        <f>"共青团员"</f>
        <v>共青团员</v>
      </c>
      <c r="H192" t="str">
        <f>"广西民族师范学院音乐教育"</f>
        <v>广西民族师范学院音乐教育</v>
      </c>
      <c r="I192" t="str">
        <f>"音乐教育"</f>
        <v>音乐教育</v>
      </c>
      <c r="J192" t="str">
        <f t="shared" si="54"/>
        <v>本科学士</v>
      </c>
      <c r="K192" t="str">
        <f t="shared" si="39"/>
        <v>百色市右江区</v>
      </c>
      <c r="L192" t="str">
        <f>""</f>
        <v/>
      </c>
      <c r="M192" t="str">
        <f>"2016.01.01"</f>
        <v>2016.01.01</v>
      </c>
      <c r="N192" t="str">
        <f>"2016.06.01"</f>
        <v>2016.06.01</v>
      </c>
      <c r="O192" t="str">
        <f>"是"</f>
        <v>是</v>
      </c>
      <c r="P192" t="str">
        <f t="shared" si="55"/>
        <v>4:高级中学</v>
      </c>
      <c r="Q192" t="str">
        <f>"201645100421082"</f>
        <v>201645100421082</v>
      </c>
      <c r="R192" t="str">
        <f>"106041201605000781"</f>
        <v>106041201605000781</v>
      </c>
      <c r="S192" t="str">
        <f t="shared" ref="S192:S198" si="57">"小学"</f>
        <v>小学</v>
      </c>
      <c r="T192" t="str">
        <f>"107:音乐"</f>
        <v>107:音乐</v>
      </c>
      <c r="U192" t="str">
        <f t="shared" si="40"/>
        <v>通过</v>
      </c>
    </row>
    <row r="193" spans="1:21" x14ac:dyDescent="0.15">
      <c r="A193" t="str">
        <f>"192"</f>
        <v>192</v>
      </c>
      <c r="B193" t="str">
        <f>"陆盈虹"</f>
        <v>陆盈虹</v>
      </c>
      <c r="C193" t="str">
        <f t="shared" si="56"/>
        <v xml:space="preserve">女        </v>
      </c>
      <c r="D193" t="str">
        <f>"汉族"</f>
        <v>汉族</v>
      </c>
      <c r="E193" t="str">
        <f>"广西百色市"</f>
        <v>广西百色市</v>
      </c>
      <c r="F193" t="str">
        <f>"1994年07月"</f>
        <v>1994年07月</v>
      </c>
      <c r="G193" t="str">
        <f>"共青团员"</f>
        <v>共青团员</v>
      </c>
      <c r="H193" t="str">
        <f>"广西师范大学绘画"</f>
        <v>广西师范大学绘画</v>
      </c>
      <c r="I193" t="str">
        <f>"绘画"</f>
        <v>绘画</v>
      </c>
      <c r="J193" t="str">
        <f t="shared" si="54"/>
        <v>本科学士</v>
      </c>
      <c r="K193" t="str">
        <f t="shared" si="39"/>
        <v>百色市右江区</v>
      </c>
      <c r="L193" t="str">
        <f>"广西百色市右江区百合园"</f>
        <v>广西百色市右江区百合园</v>
      </c>
      <c r="M193" t="str">
        <f>""</f>
        <v/>
      </c>
      <c r="N193" t="str">
        <f>"2017.07.01"</f>
        <v>2017.07.01</v>
      </c>
      <c r="O193" t="str">
        <f>"不是"</f>
        <v>不是</v>
      </c>
      <c r="P193" t="str">
        <f t="shared" si="55"/>
        <v>4:高级中学</v>
      </c>
      <c r="Q193" t="str">
        <f>"暂无"</f>
        <v>暂无</v>
      </c>
      <c r="R193" t="str">
        <f>"暂无"</f>
        <v>暂无</v>
      </c>
      <c r="S193" t="str">
        <f t="shared" si="57"/>
        <v>小学</v>
      </c>
      <c r="T193" t="str">
        <f>"108:美术"</f>
        <v>108:美术</v>
      </c>
      <c r="U193" t="str">
        <f t="shared" si="40"/>
        <v>通过</v>
      </c>
    </row>
    <row r="194" spans="1:21" x14ac:dyDescent="0.15">
      <c r="A194" t="str">
        <f>"193"</f>
        <v>193</v>
      </c>
      <c r="B194" t="str">
        <f>"李少爱"</f>
        <v>李少爱</v>
      </c>
      <c r="C194" t="str">
        <f t="shared" si="56"/>
        <v xml:space="preserve">女        </v>
      </c>
      <c r="D194" t="str">
        <f>"汉族"</f>
        <v>汉族</v>
      </c>
      <c r="E194" t="str">
        <f>"广西贵港"</f>
        <v>广西贵港</v>
      </c>
      <c r="F194" t="str">
        <f>"1987年12月"</f>
        <v>1987年12月</v>
      </c>
      <c r="G194" t="str">
        <f>"群众"</f>
        <v>群众</v>
      </c>
      <c r="H194" t="str">
        <f>"百色学院对外汉语"</f>
        <v>百色学院对外汉语</v>
      </c>
      <c r="I194" t="str">
        <f>"对外汉语"</f>
        <v>对外汉语</v>
      </c>
      <c r="J194" t="str">
        <f t="shared" si="54"/>
        <v>本科学士</v>
      </c>
      <c r="K194" t="str">
        <f t="shared" ref="K194:K246" si="58">"百色市右江区"</f>
        <v>百色市右江区</v>
      </c>
      <c r="L194" t="str">
        <f>"广西百色市右江区城东路时代阳光城"</f>
        <v>广西百色市右江区城东路时代阳光城</v>
      </c>
      <c r="M194" t="str">
        <f>"2012.07.01"</f>
        <v>2012.07.01</v>
      </c>
      <c r="N194" t="str">
        <f>"2012.06.01"</f>
        <v>2012.06.01</v>
      </c>
      <c r="O194" t="str">
        <f>"不是"</f>
        <v>不是</v>
      </c>
      <c r="P194" t="str">
        <f t="shared" si="55"/>
        <v>4:高级中学</v>
      </c>
      <c r="Q194" t="str">
        <f>"20134560042000050"</f>
        <v>20134560042000050</v>
      </c>
      <c r="R194" t="str">
        <f>"106091201205000421"</f>
        <v>106091201205000421</v>
      </c>
      <c r="S194" t="str">
        <f t="shared" si="57"/>
        <v>小学</v>
      </c>
      <c r="T194" t="str">
        <f>"102:语文"</f>
        <v>102:语文</v>
      </c>
      <c r="U194" t="str">
        <f t="shared" ref="U194:U246" si="59">"通过"</f>
        <v>通过</v>
      </c>
    </row>
    <row r="195" spans="1:21" x14ac:dyDescent="0.15">
      <c r="A195" t="str">
        <f>"194"</f>
        <v>194</v>
      </c>
      <c r="B195" t="str">
        <f>"黄雅静"</f>
        <v>黄雅静</v>
      </c>
      <c r="C195" t="str">
        <f t="shared" si="56"/>
        <v xml:space="preserve">女        </v>
      </c>
      <c r="D195" t="str">
        <f>"壮族"</f>
        <v>壮族</v>
      </c>
      <c r="E195" t="str">
        <f>"广西百色"</f>
        <v>广西百色</v>
      </c>
      <c r="F195" t="str">
        <f>"1997年01月"</f>
        <v>1997年01月</v>
      </c>
      <c r="G195" t="str">
        <f>"共青团员"</f>
        <v>共青团员</v>
      </c>
      <c r="H195" t="str">
        <f>"百色学院小学教育"</f>
        <v>百色学院小学教育</v>
      </c>
      <c r="I195" t="str">
        <f>"小学教育"</f>
        <v>小学教育</v>
      </c>
      <c r="J195" t="str">
        <f>"专科无学位"</f>
        <v>专科无学位</v>
      </c>
      <c r="K195" t="str">
        <f t="shared" si="58"/>
        <v>百色市右江区</v>
      </c>
      <c r="L195" t="str">
        <f>"广西百色市右江区四塘镇六合村那洒屯"</f>
        <v>广西百色市右江区四塘镇六合村那洒屯</v>
      </c>
      <c r="M195" t="str">
        <f>""</f>
        <v/>
      </c>
      <c r="N195" t="str">
        <f>"2017.06.01"</f>
        <v>2017.06.01</v>
      </c>
      <c r="O195" t="str">
        <f>"是"</f>
        <v>是</v>
      </c>
      <c r="P195" t="str">
        <f>"2:小学"</f>
        <v>2:小学</v>
      </c>
      <c r="Q195" t="str">
        <f>"无"</f>
        <v>无</v>
      </c>
      <c r="R195" t="str">
        <f>"无"</f>
        <v>无</v>
      </c>
      <c r="S195" t="str">
        <f t="shared" si="57"/>
        <v>小学</v>
      </c>
      <c r="T195" t="str">
        <f>"103:数学"</f>
        <v>103:数学</v>
      </c>
      <c r="U195" t="str">
        <f t="shared" si="59"/>
        <v>通过</v>
      </c>
    </row>
    <row r="196" spans="1:21" x14ac:dyDescent="0.15">
      <c r="A196" t="str">
        <f>"195"</f>
        <v>195</v>
      </c>
      <c r="B196" t="str">
        <f>"王柳越"</f>
        <v>王柳越</v>
      </c>
      <c r="C196" t="str">
        <f t="shared" si="56"/>
        <v xml:space="preserve">女        </v>
      </c>
      <c r="D196" t="str">
        <f>"汉族"</f>
        <v>汉族</v>
      </c>
      <c r="E196" t="str">
        <f>"广西百色市"</f>
        <v>广西百色市</v>
      </c>
      <c r="F196" t="str">
        <f>"1994年05月"</f>
        <v>1994年05月</v>
      </c>
      <c r="G196" t="str">
        <f>"共青团员"</f>
        <v>共青团员</v>
      </c>
      <c r="H196" t="str">
        <f>"南宁学院会计学"</f>
        <v>南宁学院会计学</v>
      </c>
      <c r="I196" t="str">
        <f>"会计学"</f>
        <v>会计学</v>
      </c>
      <c r="J196" t="str">
        <f>"本科学士"</f>
        <v>本科学士</v>
      </c>
      <c r="K196" t="str">
        <f t="shared" si="58"/>
        <v>百色市右江区</v>
      </c>
      <c r="L196" t="str">
        <f>"广西百色市隆林县介廷乡马窑村下弄保屯"</f>
        <v>广西百色市隆林县介廷乡马窑村下弄保屯</v>
      </c>
      <c r="M196" t="str">
        <f>""</f>
        <v/>
      </c>
      <c r="N196" t="str">
        <f>"2017.07.01"</f>
        <v>2017.07.01</v>
      </c>
      <c r="O196" t="str">
        <f>"不是"</f>
        <v>不是</v>
      </c>
      <c r="P196" t="str">
        <f>"0:暂未取得"</f>
        <v>0:暂未取得</v>
      </c>
      <c r="Q196" t="str">
        <f>"2017届毕业生填暂无"</f>
        <v>2017届毕业生填暂无</v>
      </c>
      <c r="R196" t="str">
        <f>"2017届毕业生填暂无"</f>
        <v>2017届毕业生填暂无</v>
      </c>
      <c r="S196" t="str">
        <f t="shared" si="57"/>
        <v>小学</v>
      </c>
      <c r="T196" t="str">
        <f>"103:数学"</f>
        <v>103:数学</v>
      </c>
      <c r="U196" t="str">
        <f t="shared" si="59"/>
        <v>通过</v>
      </c>
    </row>
    <row r="197" spans="1:21" x14ac:dyDescent="0.15">
      <c r="A197" t="str">
        <f>"196"</f>
        <v>196</v>
      </c>
      <c r="B197" t="str">
        <f>"农瑞霞"</f>
        <v>农瑞霞</v>
      </c>
      <c r="C197" t="str">
        <f t="shared" si="56"/>
        <v xml:space="preserve">女        </v>
      </c>
      <c r="D197" t="str">
        <f>"壮族"</f>
        <v>壮族</v>
      </c>
      <c r="E197" t="str">
        <f>"广西靖西"</f>
        <v>广西靖西</v>
      </c>
      <c r="F197" t="str">
        <f>"1988年04月"</f>
        <v>1988年04月</v>
      </c>
      <c r="G197" t="str">
        <f>"中共党员"</f>
        <v>中共党员</v>
      </c>
      <c r="H197" t="str">
        <f>"广西师范大学汉语言文学"</f>
        <v>广西师范大学汉语言文学</v>
      </c>
      <c r="I197" t="str">
        <f>"汉语言文学"</f>
        <v>汉语言文学</v>
      </c>
      <c r="J197" t="str">
        <f>"本科无学位"</f>
        <v>本科无学位</v>
      </c>
      <c r="K197" t="str">
        <f t="shared" si="58"/>
        <v>百色市右江区</v>
      </c>
      <c r="L197" t="str">
        <f>"广西靖西市武平镇弄贴村头槽屯24号"</f>
        <v>广西靖西市武平镇弄贴村头槽屯24号</v>
      </c>
      <c r="M197" t="str">
        <f>"2011.07.01"</f>
        <v>2011.07.01</v>
      </c>
      <c r="N197" t="str">
        <f>"2017.07.01"</f>
        <v>2017.07.01</v>
      </c>
      <c r="O197" t="str">
        <f>"是"</f>
        <v>是</v>
      </c>
      <c r="P197" t="str">
        <f>"2:小学"</f>
        <v>2:小学</v>
      </c>
      <c r="Q197" t="str">
        <f>"20164581122000041"</f>
        <v>20164581122000041</v>
      </c>
      <c r="R197" t="str">
        <f>"106025201705202293"</f>
        <v>106025201705202293</v>
      </c>
      <c r="S197" t="str">
        <f t="shared" si="57"/>
        <v>小学</v>
      </c>
      <c r="T197" t="str">
        <f>"102:语文"</f>
        <v>102:语文</v>
      </c>
      <c r="U197" t="str">
        <f t="shared" si="59"/>
        <v>通过</v>
      </c>
    </row>
    <row r="198" spans="1:21" x14ac:dyDescent="0.15">
      <c r="A198" t="str">
        <f>"197"</f>
        <v>197</v>
      </c>
      <c r="B198" t="str">
        <f>"黄春梦"</f>
        <v>黄春梦</v>
      </c>
      <c r="C198" t="str">
        <f t="shared" si="56"/>
        <v xml:space="preserve">女        </v>
      </c>
      <c r="D198" t="str">
        <f>"壮族"</f>
        <v>壮族</v>
      </c>
      <c r="E198" t="str">
        <f>"广西巴马"</f>
        <v>广西巴马</v>
      </c>
      <c r="F198" t="str">
        <f>"1992年10月"</f>
        <v>1992年10月</v>
      </c>
      <c r="G198" t="str">
        <f t="shared" ref="G198:G205" si="60">"共青团员"</f>
        <v>共青团员</v>
      </c>
      <c r="H198" t="str">
        <f>"广西民族师范学院综合文科教育"</f>
        <v>广西民族师范学院综合文科教育</v>
      </c>
      <c r="I198" t="str">
        <f>"综合文科教育"</f>
        <v>综合文科教育</v>
      </c>
      <c r="J198" t="str">
        <f>"专科无学位"</f>
        <v>专科无学位</v>
      </c>
      <c r="K198" t="str">
        <f t="shared" si="58"/>
        <v>百色市右江区</v>
      </c>
      <c r="L198" t="str">
        <f>"广西百色右江区龙景街道办事处大旺村那谷屯"</f>
        <v>广西百色右江区龙景街道办事处大旺村那谷屯</v>
      </c>
      <c r="M198" t="str">
        <f>"2014.07.01"</f>
        <v>2014.07.01</v>
      </c>
      <c r="N198" t="str">
        <f>"2014.07.01"</f>
        <v>2014.07.01</v>
      </c>
      <c r="O198" t="str">
        <f>"是"</f>
        <v>是</v>
      </c>
      <c r="P198" t="str">
        <f>"3:初级中学"</f>
        <v>3:初级中学</v>
      </c>
      <c r="Q198" t="str">
        <f>"20144510032000135"</f>
        <v>20144510032000135</v>
      </c>
      <c r="R198" t="str">
        <f>"106041201406001060"</f>
        <v>106041201406001060</v>
      </c>
      <c r="S198" t="str">
        <f t="shared" si="57"/>
        <v>小学</v>
      </c>
      <c r="T198" t="str">
        <f>"102:语文"</f>
        <v>102:语文</v>
      </c>
      <c r="U198" t="str">
        <f t="shared" si="59"/>
        <v>通过</v>
      </c>
    </row>
    <row r="199" spans="1:21" x14ac:dyDescent="0.15">
      <c r="A199" t="str">
        <f>"198"</f>
        <v>198</v>
      </c>
      <c r="B199" t="str">
        <f>"陈秋杏"</f>
        <v>陈秋杏</v>
      </c>
      <c r="C199" t="str">
        <f t="shared" si="56"/>
        <v xml:space="preserve">女        </v>
      </c>
      <c r="D199" t="str">
        <f>"汉族"</f>
        <v>汉族</v>
      </c>
      <c r="E199" t="str">
        <f>"广西贵港市桂平市"</f>
        <v>广西贵港市桂平市</v>
      </c>
      <c r="F199" t="str">
        <f>"1994年08月"</f>
        <v>1994年08月</v>
      </c>
      <c r="G199" t="str">
        <f t="shared" si="60"/>
        <v>共青团员</v>
      </c>
      <c r="H199" t="str">
        <f>"百色学院人文教育"</f>
        <v>百色学院人文教育</v>
      </c>
      <c r="I199" t="str">
        <f>"人文教育"</f>
        <v>人文教育</v>
      </c>
      <c r="J199" t="str">
        <f>"本科学士"</f>
        <v>本科学士</v>
      </c>
      <c r="K199" t="str">
        <f t="shared" si="58"/>
        <v>百色市右江区</v>
      </c>
      <c r="L199" t="str">
        <f>"广西桂平市垌心乡上瑶村寿和屯76号"</f>
        <v>广西桂平市垌心乡上瑶村寿和屯76号</v>
      </c>
      <c r="M199" t="str">
        <f>""</f>
        <v/>
      </c>
      <c r="N199" t="str">
        <f>"2017.07.01"</f>
        <v>2017.07.01</v>
      </c>
      <c r="O199" t="str">
        <f>"是"</f>
        <v>是</v>
      </c>
      <c r="P199" t="str">
        <f>"3:初级中学"</f>
        <v>3:初级中学</v>
      </c>
      <c r="Q199" t="str">
        <f>"暂无"</f>
        <v>暂无</v>
      </c>
      <c r="R199" t="str">
        <f>"106091201705002548"</f>
        <v>106091201705002548</v>
      </c>
      <c r="S199" t="str">
        <f>"初中"</f>
        <v>初中</v>
      </c>
      <c r="T199" t="str">
        <f>"207:地理"</f>
        <v>207:地理</v>
      </c>
      <c r="U199" t="str">
        <f t="shared" si="59"/>
        <v>通过</v>
      </c>
    </row>
    <row r="200" spans="1:21" x14ac:dyDescent="0.15">
      <c r="A200" t="str">
        <f>"199"</f>
        <v>199</v>
      </c>
      <c r="B200" t="str">
        <f>"韦艳梅"</f>
        <v>韦艳梅</v>
      </c>
      <c r="C200" t="str">
        <f t="shared" si="56"/>
        <v xml:space="preserve">女        </v>
      </c>
      <c r="D200" t="str">
        <f>"壮族"</f>
        <v>壮族</v>
      </c>
      <c r="E200" t="str">
        <f>"广西百色"</f>
        <v>广西百色</v>
      </c>
      <c r="F200" t="str">
        <f>"1994年01月"</f>
        <v>1994年01月</v>
      </c>
      <c r="G200" t="str">
        <f t="shared" si="60"/>
        <v>共青团员</v>
      </c>
      <c r="H200" t="str">
        <f>"南宁地区教育学院语文教育"</f>
        <v>南宁地区教育学院语文教育</v>
      </c>
      <c r="I200" t="str">
        <f>"语文教育"</f>
        <v>语文教育</v>
      </c>
      <c r="J200" t="str">
        <f>"专科无学位"</f>
        <v>专科无学位</v>
      </c>
      <c r="K200" t="str">
        <f t="shared" si="58"/>
        <v>百色市右江区</v>
      </c>
      <c r="L200" t="str">
        <f>"广西百色市右江区大楞乡宝石村那利屯5-2号"</f>
        <v>广西百色市右江区大楞乡宝石村那利屯5-2号</v>
      </c>
      <c r="M200" t="str">
        <f>"2016.08.01"</f>
        <v>2016.08.01</v>
      </c>
      <c r="N200" t="str">
        <f>"2015.06.01"</f>
        <v>2015.06.01</v>
      </c>
      <c r="O200" t="str">
        <f>"是"</f>
        <v>是</v>
      </c>
      <c r="P200" t="str">
        <f>"2:小学"</f>
        <v>2:小学</v>
      </c>
      <c r="Q200" t="str">
        <f>"20164580122000061"</f>
        <v>20164580122000061</v>
      </c>
      <c r="R200" t="str">
        <f>"516751201506000306"</f>
        <v>516751201506000306</v>
      </c>
      <c r="S200" t="str">
        <f>"小学"</f>
        <v>小学</v>
      </c>
      <c r="T200" t="str">
        <f>"102:语文"</f>
        <v>102:语文</v>
      </c>
      <c r="U200" t="str">
        <f t="shared" si="59"/>
        <v>通过</v>
      </c>
    </row>
    <row r="201" spans="1:21" x14ac:dyDescent="0.15">
      <c r="A201" t="str">
        <f>"200"</f>
        <v>200</v>
      </c>
      <c r="B201" t="str">
        <f>"黄佩媛"</f>
        <v>黄佩媛</v>
      </c>
      <c r="C201" t="str">
        <f t="shared" si="56"/>
        <v xml:space="preserve">女        </v>
      </c>
      <c r="D201" t="str">
        <f>"壮族"</f>
        <v>壮族</v>
      </c>
      <c r="E201" t="str">
        <f>"广西百色"</f>
        <v>广西百色</v>
      </c>
      <c r="F201" t="str">
        <f>"1996年02月"</f>
        <v>1996年02月</v>
      </c>
      <c r="G201" t="str">
        <f t="shared" si="60"/>
        <v>共青团员</v>
      </c>
      <c r="H201" t="str">
        <f>"百色学院综合文科教育"</f>
        <v>百色学院综合文科教育</v>
      </c>
      <c r="I201" t="str">
        <f>"综合文科教育"</f>
        <v>综合文科教育</v>
      </c>
      <c r="J201" t="str">
        <f>"专科无学位"</f>
        <v>专科无学位</v>
      </c>
      <c r="K201" t="str">
        <f t="shared" si="58"/>
        <v>百色市右江区</v>
      </c>
      <c r="L201" t="str">
        <f>"广西百色市右江区龙景街道办事处七塘社区六料屯28-2号"</f>
        <v>广西百色市右江区龙景街道办事处七塘社区六料屯28-2号</v>
      </c>
      <c r="M201" t="str">
        <f>""</f>
        <v/>
      </c>
      <c r="N201" t="str">
        <f>"2017.06.01"</f>
        <v>2017.06.01</v>
      </c>
      <c r="O201" t="str">
        <f>"是"</f>
        <v>是</v>
      </c>
      <c r="P201" t="str">
        <f>"0:暂未取得"</f>
        <v>0:暂未取得</v>
      </c>
      <c r="Q201" t="str">
        <f>"无"</f>
        <v>无</v>
      </c>
      <c r="R201" t="str">
        <f>"无"</f>
        <v>无</v>
      </c>
      <c r="S201" t="str">
        <f>"小学"</f>
        <v>小学</v>
      </c>
      <c r="T201" t="str">
        <f>"102:语文"</f>
        <v>102:语文</v>
      </c>
      <c r="U201" t="str">
        <f t="shared" si="59"/>
        <v>通过</v>
      </c>
    </row>
    <row r="202" spans="1:21" x14ac:dyDescent="0.15">
      <c r="A202" t="str">
        <f>"201"</f>
        <v>201</v>
      </c>
      <c r="B202" t="str">
        <f>"谷妙贵"</f>
        <v>谷妙贵</v>
      </c>
      <c r="C202" t="str">
        <f t="shared" si="56"/>
        <v xml:space="preserve">女        </v>
      </c>
      <c r="D202" t="str">
        <f>"壮族"</f>
        <v>壮族</v>
      </c>
      <c r="E202" t="str">
        <f>"百色市德保县"</f>
        <v>百色市德保县</v>
      </c>
      <c r="F202" t="str">
        <f>"1994年03月"</f>
        <v>1994年03月</v>
      </c>
      <c r="G202" t="str">
        <f t="shared" si="60"/>
        <v>共青团员</v>
      </c>
      <c r="H202" t="str">
        <f>"江汉大学体育学院运动训练"</f>
        <v>江汉大学体育学院运动训练</v>
      </c>
      <c r="I202" t="str">
        <f>"运动训练"</f>
        <v>运动训练</v>
      </c>
      <c r="J202" t="str">
        <f>"本科学士"</f>
        <v>本科学士</v>
      </c>
      <c r="K202" t="str">
        <f t="shared" si="58"/>
        <v>百色市右江区</v>
      </c>
      <c r="L202" t="str">
        <f>"广西百色市德保县足荣镇那亮村凌屯"</f>
        <v>广西百色市德保县足荣镇那亮村凌屯</v>
      </c>
      <c r="M202" t="str">
        <f>""</f>
        <v/>
      </c>
      <c r="N202" t="str">
        <f>"2017.07.01"</f>
        <v>2017.07.01</v>
      </c>
      <c r="O202" t="str">
        <f>"不是"</f>
        <v>不是</v>
      </c>
      <c r="P202" t="str">
        <f>"0:暂未取得"</f>
        <v>0:暂未取得</v>
      </c>
      <c r="Q202" t="str">
        <f>"2017届毕业生填暂无"</f>
        <v>2017届毕业生填暂无</v>
      </c>
      <c r="R202" t="str">
        <f>"2017届毕业生填暂无"</f>
        <v>2017届毕业生填暂无</v>
      </c>
      <c r="S202" t="str">
        <f>"小学"</f>
        <v>小学</v>
      </c>
      <c r="T202" t="str">
        <f>"106:体育"</f>
        <v>106:体育</v>
      </c>
      <c r="U202" t="str">
        <f t="shared" si="59"/>
        <v>通过</v>
      </c>
    </row>
    <row r="203" spans="1:21" x14ac:dyDescent="0.15">
      <c r="A203" t="str">
        <f>"202"</f>
        <v>202</v>
      </c>
      <c r="B203" t="str">
        <f>"陈豪龙"</f>
        <v>陈豪龙</v>
      </c>
      <c r="C203" t="str">
        <f>"男        "</f>
        <v xml:space="preserve">男        </v>
      </c>
      <c r="D203" t="str">
        <f>"汉族"</f>
        <v>汉族</v>
      </c>
      <c r="E203" t="str">
        <f>"广西玉林"</f>
        <v>广西玉林</v>
      </c>
      <c r="F203" t="str">
        <f>"1994年01月"</f>
        <v>1994年01月</v>
      </c>
      <c r="G203" t="str">
        <f t="shared" si="60"/>
        <v>共青团员</v>
      </c>
      <c r="H203" t="str">
        <f>"百色学院物理"</f>
        <v>百色学院物理</v>
      </c>
      <c r="I203" t="str">
        <f>"物理"</f>
        <v>物理</v>
      </c>
      <c r="J203" t="str">
        <f>"本科学士"</f>
        <v>本科学士</v>
      </c>
      <c r="K203" t="str">
        <f t="shared" si="58"/>
        <v>百色市右江区</v>
      </c>
      <c r="L203" t="str">
        <f>""</f>
        <v/>
      </c>
      <c r="M203" t="str">
        <f>"2016.10.01"</f>
        <v>2016.10.01</v>
      </c>
      <c r="N203" t="str">
        <f>"2017.06.01"</f>
        <v>2017.06.01</v>
      </c>
      <c r="O203" t="str">
        <f>"是"</f>
        <v>是</v>
      </c>
      <c r="P203" t="str">
        <f>"3:初级中学"</f>
        <v>3:初级中学</v>
      </c>
      <c r="Q203" t="str">
        <f>"2017届毕业生填暂无"</f>
        <v>2017届毕业生填暂无</v>
      </c>
      <c r="R203" t="str">
        <f>"2017届毕业生填暂无"</f>
        <v>2017届毕业生填暂无</v>
      </c>
      <c r="S203" t="str">
        <f>"初中"</f>
        <v>初中</v>
      </c>
      <c r="T203" t="str">
        <f>"210:物理"</f>
        <v>210:物理</v>
      </c>
      <c r="U203" t="str">
        <f t="shared" si="59"/>
        <v>通过</v>
      </c>
    </row>
    <row r="204" spans="1:21" x14ac:dyDescent="0.15">
      <c r="A204" t="str">
        <f>"203"</f>
        <v>203</v>
      </c>
      <c r="B204" t="str">
        <f>"黄秋月"</f>
        <v>黄秋月</v>
      </c>
      <c r="C204" t="str">
        <f>"女        "</f>
        <v xml:space="preserve">女        </v>
      </c>
      <c r="D204" t="str">
        <f>"汉族"</f>
        <v>汉族</v>
      </c>
      <c r="E204" t="str">
        <f>"广西博白"</f>
        <v>广西博白</v>
      </c>
      <c r="F204" t="str">
        <f>"1992年09月"</f>
        <v>1992年09月</v>
      </c>
      <c r="G204" t="str">
        <f t="shared" si="60"/>
        <v>共青团员</v>
      </c>
      <c r="H204" t="str">
        <f>"百色学院食品科学与工程"</f>
        <v>百色学院食品科学与工程</v>
      </c>
      <c r="I204" t="str">
        <f>"食品科学与工程"</f>
        <v>食品科学与工程</v>
      </c>
      <c r="J204" t="str">
        <f>"本科学士"</f>
        <v>本科学士</v>
      </c>
      <c r="K204" t="str">
        <f t="shared" si="58"/>
        <v>百色市右江区</v>
      </c>
      <c r="L204" t="str">
        <f>"广西博白宁潭镇德心村"</f>
        <v>广西博白宁潭镇德心村</v>
      </c>
      <c r="M204" t="str">
        <f>"2016.03.01"</f>
        <v>2016.03.01</v>
      </c>
      <c r="N204" t="str">
        <f>"2016.06.01"</f>
        <v>2016.06.01</v>
      </c>
      <c r="O204" t="str">
        <f>"不是"</f>
        <v>不是</v>
      </c>
      <c r="P204" t="str">
        <f>"2:小学"</f>
        <v>2:小学</v>
      </c>
      <c r="Q204" t="str">
        <f>"2017452013686"</f>
        <v>2017452013686</v>
      </c>
      <c r="R204" t="str">
        <f>"106091201605002235"</f>
        <v>106091201605002235</v>
      </c>
      <c r="S204" t="str">
        <f>"小学"</f>
        <v>小学</v>
      </c>
      <c r="T204" t="str">
        <f>"102:语文"</f>
        <v>102:语文</v>
      </c>
      <c r="U204" t="str">
        <f t="shared" si="59"/>
        <v>通过</v>
      </c>
    </row>
    <row r="205" spans="1:21" x14ac:dyDescent="0.15">
      <c r="A205" t="str">
        <f>"204"</f>
        <v>204</v>
      </c>
      <c r="B205" t="str">
        <f>"银露"</f>
        <v>银露</v>
      </c>
      <c r="C205" t="str">
        <f>"女        "</f>
        <v xml:space="preserve">女        </v>
      </c>
      <c r="D205" t="str">
        <f>"汉族"</f>
        <v>汉族</v>
      </c>
      <c r="E205" t="str">
        <f>"广西"</f>
        <v>广西</v>
      </c>
      <c r="F205" t="str">
        <f>"1991年11月"</f>
        <v>1991年11月</v>
      </c>
      <c r="G205" t="str">
        <f t="shared" si="60"/>
        <v>共青团员</v>
      </c>
      <c r="H205" t="str">
        <f>"琼州学院英语"</f>
        <v>琼州学院英语</v>
      </c>
      <c r="I205" t="str">
        <f>"英语"</f>
        <v>英语</v>
      </c>
      <c r="J205" t="str">
        <f>"本科学士"</f>
        <v>本科学士</v>
      </c>
      <c r="K205" t="str">
        <f t="shared" si="58"/>
        <v>百色市右江区</v>
      </c>
      <c r="L205" t="str">
        <f>"百色市右江区鼎盛中央公园"</f>
        <v>百色市右江区鼎盛中央公园</v>
      </c>
      <c r="M205" t="str">
        <f>"2014.07.01"</f>
        <v>2014.07.01</v>
      </c>
      <c r="N205" t="str">
        <f>"2014.06.01"</f>
        <v>2014.06.01</v>
      </c>
      <c r="O205" t="str">
        <f>"不是"</f>
        <v>不是</v>
      </c>
      <c r="P205" t="str">
        <f>"3:初级中学"</f>
        <v>3:初级中学</v>
      </c>
      <c r="Q205" t="str">
        <f>"20144600332001413"</f>
        <v>20144600332001413</v>
      </c>
      <c r="R205" t="str">
        <f>"111001201405002325"</f>
        <v>111001201405002325</v>
      </c>
      <c r="S205" t="str">
        <f>"初中"</f>
        <v>初中</v>
      </c>
      <c r="T205" t="str">
        <f>"204:英语"</f>
        <v>204:英语</v>
      </c>
      <c r="U205" t="str">
        <f t="shared" si="59"/>
        <v>通过</v>
      </c>
    </row>
    <row r="206" spans="1:21" x14ac:dyDescent="0.15">
      <c r="A206" t="str">
        <f>"205"</f>
        <v>205</v>
      </c>
      <c r="B206" t="str">
        <f>"黄保电"</f>
        <v>黄保电</v>
      </c>
      <c r="C206" t="str">
        <f>"男        "</f>
        <v xml:space="preserve">男        </v>
      </c>
      <c r="D206" t="str">
        <f>"壮族"</f>
        <v>壮族</v>
      </c>
      <c r="E206" t="str">
        <f>"广西百色"</f>
        <v>广西百色</v>
      </c>
      <c r="F206" t="str">
        <f>"1993年12月"</f>
        <v>1993年12月</v>
      </c>
      <c r="G206" t="str">
        <f>"群众"</f>
        <v>群众</v>
      </c>
      <c r="H206" t="str">
        <f>"广西民族大学数学与应用数学"</f>
        <v>广西民族大学数学与应用数学</v>
      </c>
      <c r="I206" t="str">
        <f>"数学与应用数学"</f>
        <v>数学与应用数学</v>
      </c>
      <c r="J206" t="str">
        <f>"本科学士"</f>
        <v>本科学士</v>
      </c>
      <c r="K206" t="str">
        <f t="shared" si="58"/>
        <v>百色市右江区</v>
      </c>
      <c r="L206" t="str">
        <f>"广西百色市右江区"</f>
        <v>广西百色市右江区</v>
      </c>
      <c r="M206" t="str">
        <f>""</f>
        <v/>
      </c>
      <c r="N206" t="str">
        <f>"2017.07.01"</f>
        <v>2017.07.01</v>
      </c>
      <c r="O206" t="str">
        <f>"是"</f>
        <v>是</v>
      </c>
      <c r="P206" t="str">
        <f>"0:暂未取得"</f>
        <v>0:暂未取得</v>
      </c>
      <c r="Q206" t="str">
        <f t="shared" ref="Q206:R208" si="61">"暂无"</f>
        <v>暂无</v>
      </c>
      <c r="R206" t="str">
        <f t="shared" si="61"/>
        <v>暂无</v>
      </c>
      <c r="S206" t="str">
        <f>"初中"</f>
        <v>初中</v>
      </c>
      <c r="T206" t="str">
        <f>"203:数学"</f>
        <v>203:数学</v>
      </c>
      <c r="U206" t="str">
        <f t="shared" si="59"/>
        <v>通过</v>
      </c>
    </row>
    <row r="207" spans="1:21" x14ac:dyDescent="0.15">
      <c r="A207" t="str">
        <f>"206"</f>
        <v>206</v>
      </c>
      <c r="B207" t="str">
        <f>"何诗雨"</f>
        <v>何诗雨</v>
      </c>
      <c r="C207" t="str">
        <f>"女        "</f>
        <v xml:space="preserve">女        </v>
      </c>
      <c r="D207" t="str">
        <f>"壮族"</f>
        <v>壮族</v>
      </c>
      <c r="E207" t="str">
        <f>"广西百色"</f>
        <v>广西百色</v>
      </c>
      <c r="F207" t="str">
        <f>"1997年04月"</f>
        <v>1997年04月</v>
      </c>
      <c r="G207" t="str">
        <f t="shared" ref="G207:G213" si="62">"共青团员"</f>
        <v>共青团员</v>
      </c>
      <c r="H207" t="str">
        <f>"百色学院小学教育"</f>
        <v>百色学院小学教育</v>
      </c>
      <c r="I207" t="str">
        <f>"小学教育"</f>
        <v>小学教育</v>
      </c>
      <c r="J207" t="str">
        <f>"专科无学位"</f>
        <v>专科无学位</v>
      </c>
      <c r="K207" t="str">
        <f t="shared" si="58"/>
        <v>百色市右江区</v>
      </c>
      <c r="L207" t="str">
        <f>"广西百色市右江区城北二路凤凰巷三期a区"</f>
        <v>广西百色市右江区城北二路凤凰巷三期a区</v>
      </c>
      <c r="M207" t="str">
        <f>""</f>
        <v/>
      </c>
      <c r="N207" t="str">
        <f>"2017.06.01"</f>
        <v>2017.06.01</v>
      </c>
      <c r="O207" t="str">
        <f>"是"</f>
        <v>是</v>
      </c>
      <c r="P207" t="str">
        <f>"0:暂未取得"</f>
        <v>0:暂未取得</v>
      </c>
      <c r="Q207" t="str">
        <f t="shared" si="61"/>
        <v>暂无</v>
      </c>
      <c r="R207" t="str">
        <f t="shared" si="61"/>
        <v>暂无</v>
      </c>
      <c r="S207" t="str">
        <f>"小学"</f>
        <v>小学</v>
      </c>
      <c r="T207" t="str">
        <f>"103:数学"</f>
        <v>103:数学</v>
      </c>
      <c r="U207" t="str">
        <f t="shared" si="59"/>
        <v>通过</v>
      </c>
    </row>
    <row r="208" spans="1:21" x14ac:dyDescent="0.15">
      <c r="A208" t="str">
        <f>"207"</f>
        <v>207</v>
      </c>
      <c r="B208" t="str">
        <f>"谭淇元"</f>
        <v>谭淇元</v>
      </c>
      <c r="C208" t="str">
        <f>"男        "</f>
        <v xml:space="preserve">男        </v>
      </c>
      <c r="D208" t="str">
        <f>"壮族"</f>
        <v>壮族</v>
      </c>
      <c r="E208" t="str">
        <f>"广西百色"</f>
        <v>广西百色</v>
      </c>
      <c r="F208" t="str">
        <f>"1994年02月"</f>
        <v>1994年02月</v>
      </c>
      <c r="G208" t="str">
        <f t="shared" si="62"/>
        <v>共青团员</v>
      </c>
      <c r="H208" t="str">
        <f>"广西民族大学相思湖学院社会体育"</f>
        <v>广西民族大学相思湖学院社会体育</v>
      </c>
      <c r="I208" t="str">
        <f>"社会体育"</f>
        <v>社会体育</v>
      </c>
      <c r="J208" t="str">
        <f>"本科学士"</f>
        <v>本科学士</v>
      </c>
      <c r="K208" t="str">
        <f t="shared" si="58"/>
        <v>百色市右江区</v>
      </c>
      <c r="L208" t="str">
        <f>"广西百色右江区体育广场体育局宿舍区"</f>
        <v>广西百色右江区体育广场体育局宿舍区</v>
      </c>
      <c r="M208" t="str">
        <f>""</f>
        <v/>
      </c>
      <c r="N208" t="str">
        <f>"2017.06.01"</f>
        <v>2017.06.01</v>
      </c>
      <c r="O208" t="str">
        <f>"不是"</f>
        <v>不是</v>
      </c>
      <c r="P208" t="str">
        <f>"0:暂未取得"</f>
        <v>0:暂未取得</v>
      </c>
      <c r="Q208" t="str">
        <f t="shared" si="61"/>
        <v>暂无</v>
      </c>
      <c r="R208" t="str">
        <f t="shared" si="61"/>
        <v>暂无</v>
      </c>
      <c r="S208" t="str">
        <f>"初中"</f>
        <v>初中</v>
      </c>
      <c r="T208" t="str">
        <f>"212:体育"</f>
        <v>212:体育</v>
      </c>
      <c r="U208" t="str">
        <f t="shared" si="59"/>
        <v>通过</v>
      </c>
    </row>
    <row r="209" spans="1:21" x14ac:dyDescent="0.15">
      <c r="A209" t="str">
        <f>"208"</f>
        <v>208</v>
      </c>
      <c r="B209" t="str">
        <f>"覃玉娜"</f>
        <v>覃玉娜</v>
      </c>
      <c r="C209" t="str">
        <f>"女        "</f>
        <v xml:space="preserve">女        </v>
      </c>
      <c r="D209" t="str">
        <f>"壮族"</f>
        <v>壮族</v>
      </c>
      <c r="E209" t="str">
        <f>"广西百色"</f>
        <v>广西百色</v>
      </c>
      <c r="F209" t="str">
        <f>"1993年10月"</f>
        <v>1993年10月</v>
      </c>
      <c r="G209" t="str">
        <f t="shared" si="62"/>
        <v>共青团员</v>
      </c>
      <c r="H209" t="str">
        <f>"广西艺术学院美术学"</f>
        <v>广西艺术学院美术学</v>
      </c>
      <c r="I209" t="str">
        <f>"美术学"</f>
        <v>美术学</v>
      </c>
      <c r="J209" t="str">
        <f>"本科学士"</f>
        <v>本科学士</v>
      </c>
      <c r="K209" t="str">
        <f t="shared" si="58"/>
        <v>百色市右江区</v>
      </c>
      <c r="L209" t="str">
        <f>"广西百色市西林县普合苗族乡大河村洪江屯011号"</f>
        <v>广西百色市西林县普合苗族乡大河村洪江屯011号</v>
      </c>
      <c r="M209" t="str">
        <f>"2017.05.01"</f>
        <v>2017.05.01</v>
      </c>
      <c r="N209" t="str">
        <f>"2015.06.01"</f>
        <v>2015.06.01</v>
      </c>
      <c r="O209" t="str">
        <f>"不是"</f>
        <v>不是</v>
      </c>
      <c r="P209" t="str">
        <f>"2:小学"</f>
        <v>2:小学</v>
      </c>
      <c r="Q209" t="str">
        <f>"正在办理中"</f>
        <v>正在办理中</v>
      </c>
      <c r="R209" t="str">
        <f>"106071201505000160"</f>
        <v>106071201505000160</v>
      </c>
      <c r="S209" t="str">
        <f>"小学"</f>
        <v>小学</v>
      </c>
      <c r="T209" t="str">
        <f>"108:美术"</f>
        <v>108:美术</v>
      </c>
      <c r="U209" t="str">
        <f t="shared" si="59"/>
        <v>通过</v>
      </c>
    </row>
    <row r="210" spans="1:21" x14ac:dyDescent="0.15">
      <c r="A210" t="str">
        <f>"209"</f>
        <v>209</v>
      </c>
      <c r="B210" t="str">
        <f>"蒙金玲"</f>
        <v>蒙金玲</v>
      </c>
      <c r="C210" t="str">
        <f>"女        "</f>
        <v xml:space="preserve">女        </v>
      </c>
      <c r="D210" t="str">
        <f>"壮族"</f>
        <v>壮族</v>
      </c>
      <c r="E210" t="str">
        <f>"广西田东县"</f>
        <v>广西田东县</v>
      </c>
      <c r="F210" t="str">
        <f>"1991年11月"</f>
        <v>1991年11月</v>
      </c>
      <c r="G210" t="str">
        <f t="shared" si="62"/>
        <v>共青团员</v>
      </c>
      <c r="H210" t="str">
        <f>"河池学院化学"</f>
        <v>河池学院化学</v>
      </c>
      <c r="I210" t="str">
        <f>"化学"</f>
        <v>化学</v>
      </c>
      <c r="J210" t="str">
        <f>"本科学士"</f>
        <v>本科学士</v>
      </c>
      <c r="K210" t="str">
        <f t="shared" si="58"/>
        <v>百色市右江区</v>
      </c>
      <c r="L210" t="str">
        <f>"广西田东县作登瑶族乡石湾村陇架屯"</f>
        <v>广西田东县作登瑶族乡石湾村陇架屯</v>
      </c>
      <c r="M210" t="str">
        <f>"2016.09.01"</f>
        <v>2016.09.01</v>
      </c>
      <c r="N210" t="str">
        <f>"2016.06.01"</f>
        <v>2016.06.01</v>
      </c>
      <c r="O210" t="str">
        <f t="shared" ref="O210:O222" si="63">"是"</f>
        <v>是</v>
      </c>
      <c r="P210" t="str">
        <f>"4:高级中学"</f>
        <v>4:高级中学</v>
      </c>
      <c r="Q210" t="str">
        <f>"20164590042000299"</f>
        <v>20164590042000299</v>
      </c>
      <c r="R210" t="str">
        <f>"106051201605001262"</f>
        <v>106051201605001262</v>
      </c>
      <c r="S210" t="str">
        <f>"初中"</f>
        <v>初中</v>
      </c>
      <c r="T210" t="str">
        <f>"211:化学"</f>
        <v>211:化学</v>
      </c>
      <c r="U210" t="str">
        <f t="shared" si="59"/>
        <v>通过</v>
      </c>
    </row>
    <row r="211" spans="1:21" x14ac:dyDescent="0.15">
      <c r="A211" t="str">
        <f>"210"</f>
        <v>210</v>
      </c>
      <c r="B211" t="str">
        <f>"吕宁军"</f>
        <v>吕宁军</v>
      </c>
      <c r="C211" t="str">
        <f>"男        "</f>
        <v xml:space="preserve">男        </v>
      </c>
      <c r="D211" t="str">
        <f>"汉族"</f>
        <v>汉族</v>
      </c>
      <c r="E211" t="str">
        <f>"广西百色市"</f>
        <v>广西百色市</v>
      </c>
      <c r="F211" t="str">
        <f>"1994年06月"</f>
        <v>1994年06月</v>
      </c>
      <c r="G211" t="str">
        <f t="shared" si="62"/>
        <v>共青团员</v>
      </c>
      <c r="H211" t="str">
        <f>"百色学院体育教育"</f>
        <v>百色学院体育教育</v>
      </c>
      <c r="I211" t="str">
        <f>"体育教育"</f>
        <v>体育教育</v>
      </c>
      <c r="J211" t="str">
        <f>"本科学士"</f>
        <v>本科学士</v>
      </c>
      <c r="K211" t="str">
        <f t="shared" si="58"/>
        <v>百色市右江区</v>
      </c>
      <c r="L211" t="str">
        <f>"广西百色市右江区龙景街道办事处江凤村江泽屯22号"</f>
        <v>广西百色市右江区龙景街道办事处江凤村江泽屯22号</v>
      </c>
      <c r="M211" t="str">
        <f>"2016.09.01"</f>
        <v>2016.09.01</v>
      </c>
      <c r="N211" t="str">
        <f>"2017.06.01"</f>
        <v>2017.06.01</v>
      </c>
      <c r="O211" t="str">
        <f t="shared" si="63"/>
        <v>是</v>
      </c>
      <c r="P211" t="str">
        <f>"4:高级中学"</f>
        <v>4:高级中学</v>
      </c>
      <c r="Q211" t="str">
        <f>"暂无"</f>
        <v>暂无</v>
      </c>
      <c r="R211" t="str">
        <f>"暂无"</f>
        <v>暂无</v>
      </c>
      <c r="S211" t="str">
        <f>"小学"</f>
        <v>小学</v>
      </c>
      <c r="T211" t="str">
        <f>"106:体育"</f>
        <v>106:体育</v>
      </c>
      <c r="U211" t="str">
        <f t="shared" si="59"/>
        <v>通过</v>
      </c>
    </row>
    <row r="212" spans="1:21" x14ac:dyDescent="0.15">
      <c r="A212" t="str">
        <f>"211"</f>
        <v>211</v>
      </c>
      <c r="B212" t="str">
        <f>"黄秋丽"</f>
        <v>黄秋丽</v>
      </c>
      <c r="C212" t="str">
        <f>"女        "</f>
        <v xml:space="preserve">女        </v>
      </c>
      <c r="D212" t="str">
        <f>"壮族"</f>
        <v>壮族</v>
      </c>
      <c r="E212" t="str">
        <f>"广西百色市右江区"</f>
        <v>广西百色市右江区</v>
      </c>
      <c r="F212" t="str">
        <f>"1997年01月"</f>
        <v>1997年01月</v>
      </c>
      <c r="G212" t="str">
        <f t="shared" si="62"/>
        <v>共青团员</v>
      </c>
      <c r="H212" t="str">
        <f>"百色学院教育科学学院小学教育"</f>
        <v>百色学院教育科学学院小学教育</v>
      </c>
      <c r="I212" t="str">
        <f>"小学教育"</f>
        <v>小学教育</v>
      </c>
      <c r="J212" t="str">
        <f>"专科无学位"</f>
        <v>专科无学位</v>
      </c>
      <c r="K212" t="str">
        <f t="shared" si="58"/>
        <v>百色市右江区</v>
      </c>
      <c r="L212" t="str">
        <f>"广西百色市右江区龙川镇那银村那银屯94号"</f>
        <v>广西百色市右江区龙川镇那银村那银屯94号</v>
      </c>
      <c r="M212" t="str">
        <f>"2017.05.01"</f>
        <v>2017.05.01</v>
      </c>
      <c r="N212" t="str">
        <f>"2017.06.01"</f>
        <v>2017.06.01</v>
      </c>
      <c r="O212" t="str">
        <f t="shared" si="63"/>
        <v>是</v>
      </c>
      <c r="P212" t="str">
        <f>"0:暂未取得"</f>
        <v>0:暂未取得</v>
      </c>
      <c r="Q212" t="str">
        <f>"暂无"</f>
        <v>暂无</v>
      </c>
      <c r="R212" t="str">
        <f>"暂无"</f>
        <v>暂无</v>
      </c>
      <c r="S212" t="str">
        <f>"小学"</f>
        <v>小学</v>
      </c>
      <c r="T212" t="str">
        <f>"104:英语"</f>
        <v>104:英语</v>
      </c>
      <c r="U212" t="str">
        <f t="shared" si="59"/>
        <v>通过</v>
      </c>
    </row>
    <row r="213" spans="1:21" x14ac:dyDescent="0.15">
      <c r="A213" t="str">
        <f>"212"</f>
        <v>212</v>
      </c>
      <c r="B213" t="str">
        <f>"陆秀音"</f>
        <v>陆秀音</v>
      </c>
      <c r="C213" t="str">
        <f>"女        "</f>
        <v xml:space="preserve">女        </v>
      </c>
      <c r="D213" t="str">
        <f>"壮族"</f>
        <v>壮族</v>
      </c>
      <c r="E213" t="str">
        <f>"广西百色"</f>
        <v>广西百色</v>
      </c>
      <c r="F213" t="str">
        <f>"1995年02月"</f>
        <v>1995年02月</v>
      </c>
      <c r="G213" t="str">
        <f t="shared" si="62"/>
        <v>共青团员</v>
      </c>
      <c r="H213" t="str">
        <f>"河池学院学前教育"</f>
        <v>河池学院学前教育</v>
      </c>
      <c r="I213" t="str">
        <f>"学前教育"</f>
        <v>学前教育</v>
      </c>
      <c r="J213" t="str">
        <f>"专科无学位"</f>
        <v>专科无学位</v>
      </c>
      <c r="K213" t="str">
        <f t="shared" si="58"/>
        <v>百色市右江区</v>
      </c>
      <c r="L213" t="str">
        <f>"广西百色市右江区汪甸瑶族乡塘兴村坡红屯42号"</f>
        <v>广西百色市右江区汪甸瑶族乡塘兴村坡红屯42号</v>
      </c>
      <c r="M213" t="str">
        <f>"2015.09.01"</f>
        <v>2015.09.01</v>
      </c>
      <c r="N213" t="str">
        <f>"2016.06.01"</f>
        <v>2016.06.01</v>
      </c>
      <c r="O213" t="str">
        <f t="shared" si="63"/>
        <v>是</v>
      </c>
      <c r="P213" t="str">
        <f>"2:小学"</f>
        <v>2:小学</v>
      </c>
      <c r="Q213" t="str">
        <f>"2017452016571"</f>
        <v>2017452016571</v>
      </c>
      <c r="R213" t="str">
        <f>"106051201606000354"</f>
        <v>106051201606000354</v>
      </c>
      <c r="S213" t="str">
        <f>"小学"</f>
        <v>小学</v>
      </c>
      <c r="T213" t="str">
        <f>"103:数学"</f>
        <v>103:数学</v>
      </c>
      <c r="U213" t="str">
        <f t="shared" si="59"/>
        <v>通过</v>
      </c>
    </row>
    <row r="214" spans="1:21" x14ac:dyDescent="0.15">
      <c r="A214" t="str">
        <f>"213"</f>
        <v>213</v>
      </c>
      <c r="B214" t="str">
        <f>"黄焕连"</f>
        <v>黄焕连</v>
      </c>
      <c r="C214" t="str">
        <f>"女        "</f>
        <v xml:space="preserve">女        </v>
      </c>
      <c r="D214" t="str">
        <f>"汉族"</f>
        <v>汉族</v>
      </c>
      <c r="E214" t="str">
        <f>"广西梧州"</f>
        <v>广西梧州</v>
      </c>
      <c r="F214" t="str">
        <f>"1989年09月"</f>
        <v>1989年09月</v>
      </c>
      <c r="G214" t="str">
        <f>"其他"</f>
        <v>其他</v>
      </c>
      <c r="H214" t="str">
        <f>"钦州学院物理学"</f>
        <v>钦州学院物理学</v>
      </c>
      <c r="I214" t="str">
        <f>"物理学"</f>
        <v>物理学</v>
      </c>
      <c r="J214" t="str">
        <f t="shared" ref="J214:J220" si="64">"本科学士"</f>
        <v>本科学士</v>
      </c>
      <c r="K214" t="str">
        <f t="shared" si="58"/>
        <v>百色市右江区</v>
      </c>
      <c r="L214" t="str">
        <f>"广西梧州藤县古龙镇"</f>
        <v>广西梧州藤县古龙镇</v>
      </c>
      <c r="M214" t="str">
        <f>"2012.06.01"</f>
        <v>2012.06.01</v>
      </c>
      <c r="N214" t="str">
        <f>"2012.06.01"</f>
        <v>2012.06.01</v>
      </c>
      <c r="O214" t="str">
        <f t="shared" si="63"/>
        <v>是</v>
      </c>
      <c r="P214" t="str">
        <f>"4:高级中学"</f>
        <v>4:高级中学</v>
      </c>
      <c r="Q214" t="str">
        <f>"20124570042000209"</f>
        <v>20124570042000209</v>
      </c>
      <c r="R214" t="str">
        <f>"116071201205000717"</f>
        <v>116071201205000717</v>
      </c>
      <c r="S214" t="str">
        <f>"初中"</f>
        <v>初中</v>
      </c>
      <c r="T214" t="str">
        <f>"210:物理"</f>
        <v>210:物理</v>
      </c>
      <c r="U214" t="str">
        <f t="shared" si="59"/>
        <v>通过</v>
      </c>
    </row>
    <row r="215" spans="1:21" x14ac:dyDescent="0.15">
      <c r="A215" t="str">
        <f>"214"</f>
        <v>214</v>
      </c>
      <c r="B215" t="str">
        <f>"陶思恩"</f>
        <v>陶思恩</v>
      </c>
      <c r="C215" t="str">
        <f>"男        "</f>
        <v xml:space="preserve">男        </v>
      </c>
      <c r="D215" t="str">
        <f>"汉族"</f>
        <v>汉族</v>
      </c>
      <c r="E215" t="str">
        <f>"云南省曲靖市会泽县者"</f>
        <v>云南省曲靖市会泽县者</v>
      </c>
      <c r="F215" t="str">
        <f>"1994年03月"</f>
        <v>1994年03月</v>
      </c>
      <c r="G215" t="str">
        <f>"共青团员"</f>
        <v>共青团员</v>
      </c>
      <c r="H215" t="str">
        <f>"南阳师范学院地理科学"</f>
        <v>南阳师范学院地理科学</v>
      </c>
      <c r="I215" t="str">
        <f>"地理科学"</f>
        <v>地理科学</v>
      </c>
      <c r="J215" t="str">
        <f t="shared" si="64"/>
        <v>本科学士</v>
      </c>
      <c r="K215" t="str">
        <f t="shared" si="58"/>
        <v>百色市右江区</v>
      </c>
      <c r="L215" t="str">
        <f>"云南省曲靖市会泽县者海镇七五卡"</f>
        <v>云南省曲靖市会泽县者海镇七五卡</v>
      </c>
      <c r="M215" t="str">
        <f>""</f>
        <v/>
      </c>
      <c r="N215" t="str">
        <f>"2017.07.01"</f>
        <v>2017.07.01</v>
      </c>
      <c r="O215" t="str">
        <f t="shared" si="63"/>
        <v>是</v>
      </c>
      <c r="P215" t="str">
        <f>"4:高级中学"</f>
        <v>4:高级中学</v>
      </c>
      <c r="Q215" t="str">
        <f t="shared" ref="Q215:R217" si="65">"2017届毕业生填暂无"</f>
        <v>2017届毕业生填暂无</v>
      </c>
      <c r="R215" t="str">
        <f t="shared" si="65"/>
        <v>2017届毕业生填暂无</v>
      </c>
      <c r="S215" t="str">
        <f>"初中"</f>
        <v>初中</v>
      </c>
      <c r="T215" t="str">
        <f>"207:地理"</f>
        <v>207:地理</v>
      </c>
      <c r="U215" t="str">
        <f t="shared" si="59"/>
        <v>通过</v>
      </c>
    </row>
    <row r="216" spans="1:21" x14ac:dyDescent="0.15">
      <c r="A216" t="str">
        <f>"215"</f>
        <v>215</v>
      </c>
      <c r="B216" t="str">
        <f>"覃金龙"</f>
        <v>覃金龙</v>
      </c>
      <c r="C216" t="str">
        <f>"男        "</f>
        <v xml:space="preserve">男        </v>
      </c>
      <c r="D216" t="str">
        <f>"壮族"</f>
        <v>壮族</v>
      </c>
      <c r="E216" t="str">
        <f>"广西田阳"</f>
        <v>广西田阳</v>
      </c>
      <c r="F216" t="str">
        <f>"1992年06月"</f>
        <v>1992年06月</v>
      </c>
      <c r="G216" t="str">
        <f>"共青团员"</f>
        <v>共青团员</v>
      </c>
      <c r="H216" t="str">
        <f>"广西师范学院地理科学"</f>
        <v>广西师范学院地理科学</v>
      </c>
      <c r="I216" t="str">
        <f>"地理科学"</f>
        <v>地理科学</v>
      </c>
      <c r="J216" t="str">
        <f t="shared" si="64"/>
        <v>本科学士</v>
      </c>
      <c r="K216" t="str">
        <f t="shared" si="58"/>
        <v>百色市右江区</v>
      </c>
      <c r="L216" t="str">
        <f>"广西田阳县那坡镇义安村陇慢屯2-22号"</f>
        <v>广西田阳县那坡镇义安村陇慢屯2-22号</v>
      </c>
      <c r="M216" t="str">
        <f>""</f>
        <v/>
      </c>
      <c r="N216" t="str">
        <f>"2017.06.01"</f>
        <v>2017.06.01</v>
      </c>
      <c r="O216" t="str">
        <f t="shared" si="63"/>
        <v>是</v>
      </c>
      <c r="P216" t="str">
        <f>"0:暂未取得"</f>
        <v>0:暂未取得</v>
      </c>
      <c r="Q216" t="str">
        <f t="shared" si="65"/>
        <v>2017届毕业生填暂无</v>
      </c>
      <c r="R216" t="str">
        <f t="shared" si="65"/>
        <v>2017届毕业生填暂无</v>
      </c>
      <c r="S216" t="str">
        <f>"初中"</f>
        <v>初中</v>
      </c>
      <c r="T216" t="str">
        <f>"207:地理"</f>
        <v>207:地理</v>
      </c>
      <c r="U216" t="str">
        <f t="shared" si="59"/>
        <v>通过</v>
      </c>
    </row>
    <row r="217" spans="1:21" x14ac:dyDescent="0.15">
      <c r="A217" t="str">
        <f>"216"</f>
        <v>216</v>
      </c>
      <c r="B217" t="str">
        <f>"卢锦玉"</f>
        <v>卢锦玉</v>
      </c>
      <c r="C217" t="str">
        <f>"女        "</f>
        <v xml:space="preserve">女        </v>
      </c>
      <c r="D217" t="str">
        <f>"壮族"</f>
        <v>壮族</v>
      </c>
      <c r="E217" t="str">
        <f>"广西百色"</f>
        <v>广西百色</v>
      </c>
      <c r="F217" t="str">
        <f>"1992年05月"</f>
        <v>1992年05月</v>
      </c>
      <c r="G217" t="str">
        <f>"共青团员"</f>
        <v>共青团员</v>
      </c>
      <c r="H217" t="str">
        <f>"广西师范大学秘书学"</f>
        <v>广西师范大学秘书学</v>
      </c>
      <c r="I217" t="str">
        <f>"秘书学"</f>
        <v>秘书学</v>
      </c>
      <c r="J217" t="str">
        <f t="shared" si="64"/>
        <v>本科学士</v>
      </c>
      <c r="K217" t="str">
        <f t="shared" si="58"/>
        <v>百色市右江区</v>
      </c>
      <c r="L217" t="str">
        <f>"广西百色市右江区永乐镇西乐村那豆屯"</f>
        <v>广西百色市右江区永乐镇西乐村那豆屯</v>
      </c>
      <c r="M217" t="str">
        <f>""</f>
        <v/>
      </c>
      <c r="N217" t="str">
        <f>"2017.07.01"</f>
        <v>2017.07.01</v>
      </c>
      <c r="O217" t="str">
        <f t="shared" si="63"/>
        <v>是</v>
      </c>
      <c r="P217" t="str">
        <f>"4:高级中学"</f>
        <v>4:高级中学</v>
      </c>
      <c r="Q217" t="str">
        <f t="shared" si="65"/>
        <v>2017届毕业生填暂无</v>
      </c>
      <c r="R217" t="str">
        <f t="shared" si="65"/>
        <v>2017届毕业生填暂无</v>
      </c>
      <c r="S217" t="str">
        <f>"小学"</f>
        <v>小学</v>
      </c>
      <c r="T217" t="str">
        <f>"102:语文"</f>
        <v>102:语文</v>
      </c>
      <c r="U217" t="str">
        <f t="shared" si="59"/>
        <v>通过</v>
      </c>
    </row>
    <row r="218" spans="1:21" x14ac:dyDescent="0.15">
      <c r="A218" t="str">
        <f>"217"</f>
        <v>217</v>
      </c>
      <c r="B218" t="str">
        <f>"韦玉发"</f>
        <v>韦玉发</v>
      </c>
      <c r="C218" t="str">
        <f>"男        "</f>
        <v xml:space="preserve">男        </v>
      </c>
      <c r="D218" t="str">
        <f>"壮族"</f>
        <v>壮族</v>
      </c>
      <c r="E218" t="str">
        <f>"广西"</f>
        <v>广西</v>
      </c>
      <c r="F218" t="str">
        <f>"1993年08月"</f>
        <v>1993年08月</v>
      </c>
      <c r="G218" t="str">
        <f>"共青团员"</f>
        <v>共青团员</v>
      </c>
      <c r="H218" t="str">
        <f>"广西民族师范学院体育教育"</f>
        <v>广西民族师范学院体育教育</v>
      </c>
      <c r="I218" t="str">
        <f>"体育教育"</f>
        <v>体育教育</v>
      </c>
      <c r="J218" t="str">
        <f t="shared" si="64"/>
        <v>本科学士</v>
      </c>
      <c r="K218" t="str">
        <f t="shared" si="58"/>
        <v>百色市右江区</v>
      </c>
      <c r="L218" t="str">
        <f>"广西百色市右江区汪甸瑶族乡喜乡村那眉屯"</f>
        <v>广西百色市右江区汪甸瑶族乡喜乡村那眉屯</v>
      </c>
      <c r="M218" t="str">
        <f>""</f>
        <v/>
      </c>
      <c r="N218" t="str">
        <f>"2017.06.01"</f>
        <v>2017.06.01</v>
      </c>
      <c r="O218" t="str">
        <f t="shared" si="63"/>
        <v>是</v>
      </c>
      <c r="P218" t="str">
        <f>"4:高级中学"</f>
        <v>4:高级中学</v>
      </c>
      <c r="Q218" t="str">
        <f>"暂无"</f>
        <v>暂无</v>
      </c>
      <c r="R218" t="str">
        <f>"暂无"</f>
        <v>暂无</v>
      </c>
      <c r="S218" t="str">
        <f>"小学"</f>
        <v>小学</v>
      </c>
      <c r="T218" t="str">
        <f>"106:体育"</f>
        <v>106:体育</v>
      </c>
      <c r="U218" t="str">
        <f t="shared" si="59"/>
        <v>通过</v>
      </c>
    </row>
    <row r="219" spans="1:21" x14ac:dyDescent="0.15">
      <c r="A219" t="str">
        <f>"218"</f>
        <v>218</v>
      </c>
      <c r="B219" t="str">
        <f>"覃凤燕"</f>
        <v>覃凤燕</v>
      </c>
      <c r="C219" t="str">
        <f>"女        "</f>
        <v xml:space="preserve">女        </v>
      </c>
      <c r="D219" t="str">
        <f>"壮族"</f>
        <v>壮族</v>
      </c>
      <c r="E219" t="str">
        <f>"广西省百色市德保县"</f>
        <v>广西省百色市德保县</v>
      </c>
      <c r="F219" t="str">
        <f>"1991年08月"</f>
        <v>1991年08月</v>
      </c>
      <c r="G219" t="str">
        <f>"共青团员"</f>
        <v>共青团员</v>
      </c>
      <c r="H219" t="str">
        <f>"广西民族大学汉语言文学"</f>
        <v>广西民族大学汉语言文学</v>
      </c>
      <c r="I219" t="str">
        <f>"汉语言文学"</f>
        <v>汉语言文学</v>
      </c>
      <c r="J219" t="str">
        <f t="shared" si="64"/>
        <v>本科学士</v>
      </c>
      <c r="K219" t="str">
        <f t="shared" si="58"/>
        <v>百色市右江区</v>
      </c>
      <c r="L219" t="str">
        <f>"广西省百色市德保县云梯村渠灰屯"</f>
        <v>广西省百色市德保县云梯村渠灰屯</v>
      </c>
      <c r="M219" t="str">
        <f>"2014.06.01"</f>
        <v>2014.06.01</v>
      </c>
      <c r="N219" t="str">
        <f>"2014.06.01"</f>
        <v>2014.06.01</v>
      </c>
      <c r="O219" t="str">
        <f t="shared" si="63"/>
        <v>是</v>
      </c>
      <c r="P219" t="str">
        <f>"4:高级中学"</f>
        <v>4:高级中学</v>
      </c>
      <c r="Q219" t="str">
        <f>"20144501042001218"</f>
        <v>20144501042001218</v>
      </c>
      <c r="R219" t="str">
        <f>"106081201405002819"</f>
        <v>106081201405002819</v>
      </c>
      <c r="S219" t="str">
        <f>"初中"</f>
        <v>初中</v>
      </c>
      <c r="T219" t="str">
        <f>"202:语文"</f>
        <v>202:语文</v>
      </c>
      <c r="U219" t="str">
        <f t="shared" si="59"/>
        <v>通过</v>
      </c>
    </row>
    <row r="220" spans="1:21" x14ac:dyDescent="0.15">
      <c r="A220" t="str">
        <f>"219"</f>
        <v>219</v>
      </c>
      <c r="B220" t="str">
        <f>"李美静"</f>
        <v>李美静</v>
      </c>
      <c r="C220" t="str">
        <f>"女        "</f>
        <v xml:space="preserve">女        </v>
      </c>
      <c r="D220" t="str">
        <f>"壮族"</f>
        <v>壮族</v>
      </c>
      <c r="E220" t="str">
        <f>"广西德保"</f>
        <v>广西德保</v>
      </c>
      <c r="F220" t="str">
        <f>"1993年01月"</f>
        <v>1993年01月</v>
      </c>
      <c r="G220" t="str">
        <f>"中共党员"</f>
        <v>中共党员</v>
      </c>
      <c r="H220" t="str">
        <f>"广西师范大学计算机科学与技术"</f>
        <v>广西师范大学计算机科学与技术</v>
      </c>
      <c r="I220" t="str">
        <f>"计算机科学与技术"</f>
        <v>计算机科学与技术</v>
      </c>
      <c r="J220" t="str">
        <f t="shared" si="64"/>
        <v>本科学士</v>
      </c>
      <c r="K220" t="str">
        <f t="shared" si="58"/>
        <v>百色市右江区</v>
      </c>
      <c r="L220" t="str">
        <f>"广西百色市右江区城东路建新巷209号"</f>
        <v>广西百色市右江区城东路建新巷209号</v>
      </c>
      <c r="M220" t="str">
        <f>""</f>
        <v/>
      </c>
      <c r="N220" t="str">
        <f>"2017.06.01"</f>
        <v>2017.06.01</v>
      </c>
      <c r="O220" t="str">
        <f t="shared" si="63"/>
        <v>是</v>
      </c>
      <c r="P220" t="str">
        <f>"5:中等职业学校"</f>
        <v>5:中等职业学校</v>
      </c>
      <c r="Q220" t="str">
        <f>"2017届毕业生填暂无"</f>
        <v>2017届毕业生填暂无</v>
      </c>
      <c r="R220" t="str">
        <f>"2017届毕业生填暂无"</f>
        <v>2017届毕业生填暂无</v>
      </c>
      <c r="S220" t="str">
        <f>"小学"</f>
        <v>小学</v>
      </c>
      <c r="T220" t="str">
        <f>"103:数学"</f>
        <v>103:数学</v>
      </c>
      <c r="U220" t="str">
        <f t="shared" si="59"/>
        <v>通过</v>
      </c>
    </row>
    <row r="221" spans="1:21" x14ac:dyDescent="0.15">
      <c r="A221" t="str">
        <f>"220"</f>
        <v>220</v>
      </c>
      <c r="B221" t="str">
        <f>"梁秀秀"</f>
        <v>梁秀秀</v>
      </c>
      <c r="C221" t="str">
        <f>"女        "</f>
        <v xml:space="preserve">女        </v>
      </c>
      <c r="D221" t="str">
        <f>"汉族"</f>
        <v>汉族</v>
      </c>
      <c r="E221" t="str">
        <f>"广西"</f>
        <v>广西</v>
      </c>
      <c r="F221" t="str">
        <f>"1996年02月"</f>
        <v>1996年02月</v>
      </c>
      <c r="G221" t="str">
        <f>"共青团员"</f>
        <v>共青团员</v>
      </c>
      <c r="H221" t="str">
        <f>"百色学院学前教育"</f>
        <v>百色学院学前教育</v>
      </c>
      <c r="I221" t="str">
        <f>"学前教育"</f>
        <v>学前教育</v>
      </c>
      <c r="J221" t="str">
        <f>"专科无学位"</f>
        <v>专科无学位</v>
      </c>
      <c r="K221" t="str">
        <f t="shared" si="58"/>
        <v>百色市右江区</v>
      </c>
      <c r="L221" t="str">
        <f>"广西百色右江区城东路117号"</f>
        <v>广西百色右江区城东路117号</v>
      </c>
      <c r="M221" t="str">
        <f>"2017.05.01"</f>
        <v>2017.05.01</v>
      </c>
      <c r="N221" t="str">
        <f>"2017.06.01"</f>
        <v>2017.06.01</v>
      </c>
      <c r="O221" t="str">
        <f t="shared" si="63"/>
        <v>是</v>
      </c>
      <c r="P221" t="str">
        <f>"1:幼儿园"</f>
        <v>1:幼儿园</v>
      </c>
      <c r="Q221" t="str">
        <f>"无"</f>
        <v>无</v>
      </c>
      <c r="R221" t="str">
        <f>"无"</f>
        <v>无</v>
      </c>
      <c r="S221" t="str">
        <f>"小学"</f>
        <v>小学</v>
      </c>
      <c r="T221" t="str">
        <f>"102:语文"</f>
        <v>102:语文</v>
      </c>
      <c r="U221" t="str">
        <f t="shared" si="59"/>
        <v>通过</v>
      </c>
    </row>
    <row r="222" spans="1:21" x14ac:dyDescent="0.15">
      <c r="A222" t="str">
        <f>"221"</f>
        <v>221</v>
      </c>
      <c r="B222" t="str">
        <f>"黄必智"</f>
        <v>黄必智</v>
      </c>
      <c r="C222" t="str">
        <f>"男        "</f>
        <v xml:space="preserve">男        </v>
      </c>
      <c r="D222" t="str">
        <f>"壮族"</f>
        <v>壮族</v>
      </c>
      <c r="E222" t="str">
        <f>"广西省百色市"</f>
        <v>广西省百色市</v>
      </c>
      <c r="F222" t="str">
        <f>"1994年06月"</f>
        <v>1994年06月</v>
      </c>
      <c r="G222" t="str">
        <f>"共青团员"</f>
        <v>共青团员</v>
      </c>
      <c r="H222" t="str">
        <f>"广西民族师范学院体育教育"</f>
        <v>广西民族师范学院体育教育</v>
      </c>
      <c r="I222" t="str">
        <f>"体育教育"</f>
        <v>体育教育</v>
      </c>
      <c r="J222" t="str">
        <f>"本科学士"</f>
        <v>本科学士</v>
      </c>
      <c r="K222" t="str">
        <f t="shared" si="58"/>
        <v>百色市右江区</v>
      </c>
      <c r="L222" t="str">
        <f>"广西省百色市靖西市亮表村峙表屯"</f>
        <v>广西省百色市靖西市亮表村峙表屯</v>
      </c>
      <c r="M222" t="str">
        <f>"2016.10.01"</f>
        <v>2016.10.01</v>
      </c>
      <c r="N222" t="str">
        <f>"2017.06.01"</f>
        <v>2017.06.01</v>
      </c>
      <c r="O222" t="str">
        <f t="shared" si="63"/>
        <v>是</v>
      </c>
      <c r="P222" t="str">
        <f>"0:暂未取得"</f>
        <v>0:暂未取得</v>
      </c>
      <c r="Q222" t="str">
        <f>"2017届毕业生填暂无"</f>
        <v>2017届毕业生填暂无</v>
      </c>
      <c r="R222" t="str">
        <f>"2017届毕业生填暂无"</f>
        <v>2017届毕业生填暂无</v>
      </c>
      <c r="S222" t="str">
        <f>"初中"</f>
        <v>初中</v>
      </c>
      <c r="T222" t="str">
        <f>"212:体育"</f>
        <v>212:体育</v>
      </c>
      <c r="U222" t="str">
        <f t="shared" si="59"/>
        <v>通过</v>
      </c>
    </row>
    <row r="223" spans="1:21" x14ac:dyDescent="0.15">
      <c r="A223" t="str">
        <f>"222"</f>
        <v>222</v>
      </c>
      <c r="B223" t="str">
        <f>"吴小艳"</f>
        <v>吴小艳</v>
      </c>
      <c r="C223" t="str">
        <f t="shared" ref="C223:C228" si="66">"女        "</f>
        <v xml:space="preserve">女        </v>
      </c>
      <c r="D223" t="str">
        <f>"汉族"</f>
        <v>汉族</v>
      </c>
      <c r="E223" t="str">
        <f>"广西百色"</f>
        <v>广西百色</v>
      </c>
      <c r="F223" t="str">
        <f>"1991年01月"</f>
        <v>1991年01月</v>
      </c>
      <c r="G223" t="str">
        <f>"中共党员"</f>
        <v>中共党员</v>
      </c>
      <c r="H223" t="str">
        <f>"河池学院表演"</f>
        <v>河池学院表演</v>
      </c>
      <c r="I223" t="str">
        <f>"表演"</f>
        <v>表演</v>
      </c>
      <c r="J223" t="str">
        <f>"本科学士"</f>
        <v>本科学士</v>
      </c>
      <c r="K223" t="str">
        <f t="shared" si="58"/>
        <v>百色市右江区</v>
      </c>
      <c r="L223" t="str">
        <f>"广西百色市乐业县同乐镇立新社区400号"</f>
        <v>广西百色市乐业县同乐镇立新社区400号</v>
      </c>
      <c r="M223" t="str">
        <f>"2014.09.01"</f>
        <v>2014.09.01</v>
      </c>
      <c r="N223" t="str">
        <f>"2014.06.01"</f>
        <v>2014.06.01</v>
      </c>
      <c r="O223" t="str">
        <f>"不是"</f>
        <v>不是</v>
      </c>
      <c r="P223" t="str">
        <f>"3:初级中学"</f>
        <v>3:初级中学</v>
      </c>
      <c r="Q223" t="str">
        <f>"20164580332000055"</f>
        <v>20164580332000055</v>
      </c>
      <c r="R223" t="str">
        <f>"106051201405001854"</f>
        <v>106051201405001854</v>
      </c>
      <c r="S223" t="str">
        <f>"小学"</f>
        <v>小学</v>
      </c>
      <c r="T223" t="str">
        <f>"107:音乐"</f>
        <v>107:音乐</v>
      </c>
      <c r="U223" t="str">
        <f t="shared" si="59"/>
        <v>通过</v>
      </c>
    </row>
    <row r="224" spans="1:21" x14ac:dyDescent="0.15">
      <c r="A224" t="str">
        <f>"223"</f>
        <v>223</v>
      </c>
      <c r="B224" t="str">
        <f>"覃霜"</f>
        <v>覃霜</v>
      </c>
      <c r="C224" t="str">
        <f t="shared" si="66"/>
        <v xml:space="preserve">女        </v>
      </c>
      <c r="D224" t="str">
        <f>"壮族"</f>
        <v>壮族</v>
      </c>
      <c r="E224" t="str">
        <f>"广西百色市那坡县"</f>
        <v>广西百色市那坡县</v>
      </c>
      <c r="F224" t="str">
        <f>"1988年12月"</f>
        <v>1988年12月</v>
      </c>
      <c r="G224" t="str">
        <f>"中共党员"</f>
        <v>中共党员</v>
      </c>
      <c r="H224" t="str">
        <f>"百色学院汉语言文学"</f>
        <v>百色学院汉语言文学</v>
      </c>
      <c r="I224" t="str">
        <f>"汉语言文学"</f>
        <v>汉语言文学</v>
      </c>
      <c r="J224" t="str">
        <f>"本科学士"</f>
        <v>本科学士</v>
      </c>
      <c r="K224" t="str">
        <f t="shared" si="58"/>
        <v>百色市右江区</v>
      </c>
      <c r="L224" t="str">
        <f>"广西百色市右江区城东路春天花园小区"</f>
        <v>广西百色市右江区城东路春天花园小区</v>
      </c>
      <c r="M224" t="str">
        <f>"2012.07.01"</f>
        <v>2012.07.01</v>
      </c>
      <c r="N224" t="str">
        <f>"2012.07.01"</f>
        <v>2012.07.01</v>
      </c>
      <c r="O224" t="str">
        <f>"不是"</f>
        <v>不是</v>
      </c>
      <c r="P224" t="str">
        <f>"4:高级中学"</f>
        <v>4:高级中学</v>
      </c>
      <c r="Q224" t="str">
        <f>"20124580042000214"</f>
        <v>20124580042000214</v>
      </c>
      <c r="R224" t="str">
        <f>"106091201205000445"</f>
        <v>106091201205000445</v>
      </c>
      <c r="S224" t="str">
        <f>"初中"</f>
        <v>初中</v>
      </c>
      <c r="T224" t="str">
        <f>"202:语文"</f>
        <v>202:语文</v>
      </c>
      <c r="U224" t="str">
        <f t="shared" si="59"/>
        <v>通过</v>
      </c>
    </row>
    <row r="225" spans="1:21" x14ac:dyDescent="0.15">
      <c r="A225" t="str">
        <f>"224"</f>
        <v>224</v>
      </c>
      <c r="B225" t="str">
        <f>"谢家敏"</f>
        <v>谢家敏</v>
      </c>
      <c r="C225" t="str">
        <f t="shared" si="66"/>
        <v xml:space="preserve">女        </v>
      </c>
      <c r="D225" t="str">
        <f>"汉族"</f>
        <v>汉族</v>
      </c>
      <c r="E225" t="str">
        <f>"广西桂平市"</f>
        <v>广西桂平市</v>
      </c>
      <c r="F225" t="str">
        <f>"1990年01月"</f>
        <v>1990年01月</v>
      </c>
      <c r="G225" t="str">
        <f>"共青团员"</f>
        <v>共青团员</v>
      </c>
      <c r="H225" t="str">
        <f>"百色学院艺术设计"</f>
        <v>百色学院艺术设计</v>
      </c>
      <c r="I225" t="str">
        <f>"艺术设计"</f>
        <v>艺术设计</v>
      </c>
      <c r="J225" t="str">
        <f>"本科学士"</f>
        <v>本科学士</v>
      </c>
      <c r="K225" t="str">
        <f t="shared" si="58"/>
        <v>百色市右江区</v>
      </c>
      <c r="L225" t="str">
        <f>"广西桂平市木乐镇岭村10队1屯"</f>
        <v>广西桂平市木乐镇岭村10队1屯</v>
      </c>
      <c r="M225" t="str">
        <f>"2016.10.01"</f>
        <v>2016.10.01</v>
      </c>
      <c r="N225" t="str">
        <f>"2016.07.01"</f>
        <v>2016.07.01</v>
      </c>
      <c r="O225" t="str">
        <f>"不是"</f>
        <v>不是</v>
      </c>
      <c r="P225" t="str">
        <f>"4:高级中学"</f>
        <v>4:高级中学</v>
      </c>
      <c r="Q225" t="str">
        <f>"20164580042001266"</f>
        <v>20164580042001266</v>
      </c>
      <c r="R225" t="str">
        <f>"106091201605001557"</f>
        <v>106091201605001557</v>
      </c>
      <c r="S225" t="str">
        <f>"小学"</f>
        <v>小学</v>
      </c>
      <c r="T225" t="str">
        <f>"108:美术"</f>
        <v>108:美术</v>
      </c>
      <c r="U225" t="str">
        <f t="shared" si="59"/>
        <v>通过</v>
      </c>
    </row>
    <row r="226" spans="1:21" x14ac:dyDescent="0.15">
      <c r="A226" t="str">
        <f>"225"</f>
        <v>225</v>
      </c>
      <c r="B226" t="str">
        <f>"李雪玉"</f>
        <v>李雪玉</v>
      </c>
      <c r="C226" t="str">
        <f t="shared" si="66"/>
        <v xml:space="preserve">女        </v>
      </c>
      <c r="D226" t="str">
        <f>"壮族"</f>
        <v>壮族</v>
      </c>
      <c r="E226" t="str">
        <f>"广西百色市"</f>
        <v>广西百色市</v>
      </c>
      <c r="F226" t="str">
        <f>"1994年08月"</f>
        <v>1994年08月</v>
      </c>
      <c r="G226" t="str">
        <f>"中共党员"</f>
        <v>中共党员</v>
      </c>
      <c r="H226" t="str">
        <f>"广西民族大学相思湖学院社会体育指导与管理"</f>
        <v>广西民族大学相思湖学院社会体育指导与管理</v>
      </c>
      <c r="I226" t="str">
        <f>"社会体育指导与管理"</f>
        <v>社会体育指导与管理</v>
      </c>
      <c r="J226" t="str">
        <f>"本科学士"</f>
        <v>本科学士</v>
      </c>
      <c r="K226" t="str">
        <f t="shared" si="58"/>
        <v>百色市右江区</v>
      </c>
      <c r="L226" t="str">
        <f>"广西百色市右江区龙景街道办事处大湾村沙洲屯"</f>
        <v>广西百色市右江区龙景街道办事处大湾村沙洲屯</v>
      </c>
      <c r="M226" t="str">
        <f>"2016.05.01"</f>
        <v>2016.05.01</v>
      </c>
      <c r="N226" t="str">
        <f>"2017.06.01"</f>
        <v>2017.06.01</v>
      </c>
      <c r="O226" t="str">
        <f>"不是"</f>
        <v>不是</v>
      </c>
      <c r="P226" t="str">
        <f>"0:暂未取得"</f>
        <v>0:暂未取得</v>
      </c>
      <c r="Q226" t="str">
        <f>"暂无"</f>
        <v>暂无</v>
      </c>
      <c r="R226" t="str">
        <f>"暂无"</f>
        <v>暂无</v>
      </c>
      <c r="S226" t="str">
        <f>"小学"</f>
        <v>小学</v>
      </c>
      <c r="T226" t="str">
        <f>"106:体育"</f>
        <v>106:体育</v>
      </c>
      <c r="U226" t="str">
        <f t="shared" si="59"/>
        <v>通过</v>
      </c>
    </row>
    <row r="227" spans="1:21" x14ac:dyDescent="0.15">
      <c r="A227" t="str">
        <f>"226"</f>
        <v>226</v>
      </c>
      <c r="B227" t="str">
        <f>"黄菊俏"</f>
        <v>黄菊俏</v>
      </c>
      <c r="C227" t="str">
        <f t="shared" si="66"/>
        <v xml:space="preserve">女        </v>
      </c>
      <c r="D227" t="str">
        <f>"汉族"</f>
        <v>汉族</v>
      </c>
      <c r="E227" t="str">
        <f>"广西百色"</f>
        <v>广西百色</v>
      </c>
      <c r="F227" t="str">
        <f>"1995年06月"</f>
        <v>1995年06月</v>
      </c>
      <c r="G227" t="str">
        <f>"共青团员"</f>
        <v>共青团员</v>
      </c>
      <c r="H227" t="str">
        <f>"广西科技师范学院语文教育"</f>
        <v>广西科技师范学院语文教育</v>
      </c>
      <c r="I227" t="str">
        <f>"语文教育"</f>
        <v>语文教育</v>
      </c>
      <c r="J227" t="str">
        <f>"专科无学位"</f>
        <v>专科无学位</v>
      </c>
      <c r="K227" t="str">
        <f t="shared" si="58"/>
        <v>百色市右江区</v>
      </c>
      <c r="L227" t="str">
        <f>"广西百色市右江区龙景街道办事处那毕乡大湾村上芹屯"</f>
        <v>广西百色市右江区龙景街道办事处那毕乡大湾村上芹屯</v>
      </c>
      <c r="M227" t="str">
        <f>"2016.09.01"</f>
        <v>2016.09.01</v>
      </c>
      <c r="N227" t="str">
        <f>"2017.07.01"</f>
        <v>2017.07.01</v>
      </c>
      <c r="O227" t="str">
        <f>"是"</f>
        <v>是</v>
      </c>
      <c r="P227" t="str">
        <f>"2:小学"</f>
        <v>2:小学</v>
      </c>
      <c r="Q227" t="str">
        <f>"2017届毕业生填暂无"</f>
        <v>2017届毕业生填暂无</v>
      </c>
      <c r="R227" t="str">
        <f>"2017届毕业生填暂无"</f>
        <v>2017届毕业生填暂无</v>
      </c>
      <c r="S227" t="str">
        <f>"小学"</f>
        <v>小学</v>
      </c>
      <c r="T227" t="str">
        <f>"102:语文"</f>
        <v>102:语文</v>
      </c>
      <c r="U227" t="str">
        <f t="shared" si="59"/>
        <v>通过</v>
      </c>
    </row>
    <row r="228" spans="1:21" x14ac:dyDescent="0.15">
      <c r="A228" t="str">
        <f>"227"</f>
        <v>227</v>
      </c>
      <c r="B228" t="str">
        <f>"韦春雷"</f>
        <v>韦春雷</v>
      </c>
      <c r="C228" t="str">
        <f t="shared" si="66"/>
        <v xml:space="preserve">女        </v>
      </c>
      <c r="D228" t="str">
        <f>"壮族"</f>
        <v>壮族</v>
      </c>
      <c r="E228" t="str">
        <f>"广西南宁"</f>
        <v>广西南宁</v>
      </c>
      <c r="F228" t="str">
        <f>"1994年05月"</f>
        <v>1994年05月</v>
      </c>
      <c r="G228" t="str">
        <f>"中共党员"</f>
        <v>中共党员</v>
      </c>
      <c r="H228" t="str">
        <f>"百色学院生物技术"</f>
        <v>百色学院生物技术</v>
      </c>
      <c r="I228" t="str">
        <f>"生物技术"</f>
        <v>生物技术</v>
      </c>
      <c r="J228" t="str">
        <f>"本科学士"</f>
        <v>本科学士</v>
      </c>
      <c r="K228" t="str">
        <f t="shared" si="58"/>
        <v>百色市右江区</v>
      </c>
      <c r="L228" t="str">
        <f>"广西壮族自治区南宁市马山县里当乡太平村甘东屯02号"</f>
        <v>广西壮族自治区南宁市马山县里当乡太平村甘东屯02号</v>
      </c>
      <c r="M228" t="str">
        <f>""</f>
        <v/>
      </c>
      <c r="N228" t="str">
        <f>"2017.06.01"</f>
        <v>2017.06.01</v>
      </c>
      <c r="O228" t="str">
        <f>"不是"</f>
        <v>不是</v>
      </c>
      <c r="P228" t="str">
        <f>"3:初级中学"</f>
        <v>3:初级中学</v>
      </c>
      <c r="Q228" t="str">
        <f>"暂无"</f>
        <v>暂无</v>
      </c>
      <c r="R228" t="str">
        <f>"暂无"</f>
        <v>暂无</v>
      </c>
      <c r="S228" t="str">
        <f>"初中"</f>
        <v>初中</v>
      </c>
      <c r="T228" t="str">
        <f>"209:生物"</f>
        <v>209:生物</v>
      </c>
      <c r="U228" t="str">
        <f t="shared" si="59"/>
        <v>通过</v>
      </c>
    </row>
    <row r="229" spans="1:21" x14ac:dyDescent="0.15">
      <c r="A229" t="str">
        <f>"228"</f>
        <v>228</v>
      </c>
      <c r="B229" t="str">
        <f>"肖义坤"</f>
        <v>肖义坤</v>
      </c>
      <c r="C229" t="str">
        <f>"男        "</f>
        <v xml:space="preserve">男        </v>
      </c>
      <c r="D229" t="str">
        <f>"汉族"</f>
        <v>汉族</v>
      </c>
      <c r="E229" t="str">
        <f>"云南省文山州广南县"</f>
        <v>云南省文山州广南县</v>
      </c>
      <c r="F229" t="str">
        <f>"1992年11月"</f>
        <v>1992年11月</v>
      </c>
      <c r="G229" t="str">
        <f>"中共党员"</f>
        <v>中共党员</v>
      </c>
      <c r="H229" t="str">
        <f>"文山学院思想政治教育"</f>
        <v>文山学院思想政治教育</v>
      </c>
      <c r="I229" t="str">
        <f>"思想政治教育"</f>
        <v>思想政治教育</v>
      </c>
      <c r="J229" t="str">
        <f>"本科学士"</f>
        <v>本科学士</v>
      </c>
      <c r="K229" t="str">
        <f t="shared" si="58"/>
        <v>百色市右江区</v>
      </c>
      <c r="L229" t="str">
        <f>"云南省文山壮族苗族自治州广南县曙光乡鸡街村民委乐兴"</f>
        <v>云南省文山壮族苗族自治州广南县曙光乡鸡街村民委乐兴</v>
      </c>
      <c r="M229" t="str">
        <f>""</f>
        <v/>
      </c>
      <c r="N229" t="str">
        <f>"2017.07.01"</f>
        <v>2017.07.01</v>
      </c>
      <c r="O229" t="str">
        <f t="shared" ref="O229:O239" si="67">"是"</f>
        <v>是</v>
      </c>
      <c r="P229" t="str">
        <f>"4:高级中学"</f>
        <v>4:高级中学</v>
      </c>
      <c r="Q229" t="str">
        <f>"2017届毕业生填暂无"</f>
        <v>2017届毕业生填暂无</v>
      </c>
      <c r="R229" t="str">
        <f>"2017届毕业生填暂无"</f>
        <v>2017届毕业生填暂无</v>
      </c>
      <c r="S229" t="str">
        <f>"初中"</f>
        <v>初中</v>
      </c>
      <c r="T229" t="str">
        <f>"299:政治"</f>
        <v>299:政治</v>
      </c>
      <c r="U229" t="str">
        <f t="shared" si="59"/>
        <v>通过</v>
      </c>
    </row>
    <row r="230" spans="1:21" x14ac:dyDescent="0.15">
      <c r="A230" t="str">
        <f>"229"</f>
        <v>229</v>
      </c>
      <c r="B230" t="str">
        <f>"陆艳群"</f>
        <v>陆艳群</v>
      </c>
      <c r="C230" t="str">
        <f>"女        "</f>
        <v xml:space="preserve">女        </v>
      </c>
      <c r="D230" t="str">
        <f t="shared" ref="D230:D236" si="68">"壮族"</f>
        <v>壮族</v>
      </c>
      <c r="E230" t="str">
        <f>"广西崇左"</f>
        <v>广西崇左</v>
      </c>
      <c r="F230" t="str">
        <f>"1995年10月"</f>
        <v>1995年10月</v>
      </c>
      <c r="G230" t="str">
        <f>"共青团员"</f>
        <v>共青团员</v>
      </c>
      <c r="H230" t="str">
        <f>"百色学院人文教育"</f>
        <v>百色学院人文教育</v>
      </c>
      <c r="I230" t="str">
        <f>"人文教育"</f>
        <v>人文教育</v>
      </c>
      <c r="J230" t="str">
        <f>"本科学士"</f>
        <v>本科学士</v>
      </c>
      <c r="K230" t="str">
        <f t="shared" si="58"/>
        <v>百色市右江区</v>
      </c>
      <c r="L230" t="str">
        <f>"广西崇左凭祥市宋城村那逢屯"</f>
        <v>广西崇左凭祥市宋城村那逢屯</v>
      </c>
      <c r="M230" t="str">
        <f>"2016.09.01"</f>
        <v>2016.09.01</v>
      </c>
      <c r="N230" t="str">
        <f>"2017.06.01"</f>
        <v>2017.06.01</v>
      </c>
      <c r="O230" t="str">
        <f t="shared" si="67"/>
        <v>是</v>
      </c>
      <c r="P230" t="str">
        <f>"4:高级中学"</f>
        <v>4:高级中学</v>
      </c>
      <c r="Q230" t="str">
        <f>"暂无"</f>
        <v>暂无</v>
      </c>
      <c r="R230" t="str">
        <f>"暂无"</f>
        <v>暂无</v>
      </c>
      <c r="S230" t="str">
        <f>"初中"</f>
        <v>初中</v>
      </c>
      <c r="T230" t="str">
        <f>"299:政治"</f>
        <v>299:政治</v>
      </c>
      <c r="U230" t="str">
        <f t="shared" si="59"/>
        <v>通过</v>
      </c>
    </row>
    <row r="231" spans="1:21" x14ac:dyDescent="0.15">
      <c r="A231" t="str">
        <f>"230"</f>
        <v>230</v>
      </c>
      <c r="B231" t="str">
        <f>"梁富宁"</f>
        <v>梁富宁</v>
      </c>
      <c r="C231" t="str">
        <f>"男        "</f>
        <v xml:space="preserve">男        </v>
      </c>
      <c r="D231" t="str">
        <f t="shared" si="68"/>
        <v>壮族</v>
      </c>
      <c r="E231" t="str">
        <f>"广西百色右江"</f>
        <v>广西百色右江</v>
      </c>
      <c r="F231" t="str">
        <f>"1992年08月"</f>
        <v>1992年08月</v>
      </c>
      <c r="G231" t="str">
        <f>"中共预备党员"</f>
        <v>中共预备党员</v>
      </c>
      <c r="H231" t="str">
        <f>"广西师范学院师园学院地理科学"</f>
        <v>广西师范学院师园学院地理科学</v>
      </c>
      <c r="I231" t="str">
        <f>"地理科学"</f>
        <v>地理科学</v>
      </c>
      <c r="J231" t="str">
        <f>"本科学士"</f>
        <v>本科学士</v>
      </c>
      <c r="K231" t="str">
        <f t="shared" si="58"/>
        <v>百色市右江区</v>
      </c>
      <c r="L231" t="str">
        <f>"百色市右江龙川镇龙川村最乐街13号"</f>
        <v>百色市右江龙川镇龙川村最乐街13号</v>
      </c>
      <c r="M231" t="str">
        <f>"2015.06.01"</f>
        <v>2015.06.01</v>
      </c>
      <c r="N231" t="str">
        <f>"2015.06.01"</f>
        <v>2015.06.01</v>
      </c>
      <c r="O231" t="str">
        <f t="shared" si="67"/>
        <v>是</v>
      </c>
      <c r="P231" t="str">
        <f>"4:高级中学"</f>
        <v>4:高级中学</v>
      </c>
      <c r="Q231" t="str">
        <f>"20154501041002018"</f>
        <v>20154501041002018</v>
      </c>
      <c r="R231" t="str">
        <f>"136421201505000590"</f>
        <v>136421201505000590</v>
      </c>
      <c r="S231" t="str">
        <f>"初中"</f>
        <v>初中</v>
      </c>
      <c r="T231" t="str">
        <f>"207:地理"</f>
        <v>207:地理</v>
      </c>
      <c r="U231" t="str">
        <f t="shared" si="59"/>
        <v>通过</v>
      </c>
    </row>
    <row r="232" spans="1:21" x14ac:dyDescent="0.15">
      <c r="A232" t="str">
        <f>"231"</f>
        <v>231</v>
      </c>
      <c r="B232" t="str">
        <f>"杨秀彩"</f>
        <v>杨秀彩</v>
      </c>
      <c r="C232" t="str">
        <f>"女        "</f>
        <v xml:space="preserve">女        </v>
      </c>
      <c r="D232" t="str">
        <f t="shared" si="68"/>
        <v>壮族</v>
      </c>
      <c r="E232" t="str">
        <f>"广西百色"</f>
        <v>广西百色</v>
      </c>
      <c r="F232" t="str">
        <f>"1994年06月"</f>
        <v>1994年06月</v>
      </c>
      <c r="G232" t="str">
        <f>"共青团员"</f>
        <v>共青团员</v>
      </c>
      <c r="H232" t="str">
        <f>"百色学院综合文科教育"</f>
        <v>百色学院综合文科教育</v>
      </c>
      <c r="I232" t="str">
        <f>"综合文科教育"</f>
        <v>综合文科教育</v>
      </c>
      <c r="J232" t="str">
        <f>"专科无学位"</f>
        <v>专科无学位</v>
      </c>
      <c r="K232" t="str">
        <f t="shared" si="58"/>
        <v>百色市右江区</v>
      </c>
      <c r="L232" t="str">
        <f>"广西百色市右江区龙川镇练乡村那谷屯10号"</f>
        <v>广西百色市右江区龙川镇练乡村那谷屯10号</v>
      </c>
      <c r="M232" t="str">
        <f>"2016.09.01"</f>
        <v>2016.09.01</v>
      </c>
      <c r="N232" t="str">
        <f>"2017.06.01"</f>
        <v>2017.06.01</v>
      </c>
      <c r="O232" t="str">
        <f t="shared" si="67"/>
        <v>是</v>
      </c>
      <c r="P232" t="str">
        <f>"0:暂未取得"</f>
        <v>0:暂未取得</v>
      </c>
      <c r="Q232" t="str">
        <f>"无"</f>
        <v>无</v>
      </c>
      <c r="R232" t="str">
        <f>"无"</f>
        <v>无</v>
      </c>
      <c r="S232" t="str">
        <f>"小学"</f>
        <v>小学</v>
      </c>
      <c r="T232" t="str">
        <f>"102:语文"</f>
        <v>102:语文</v>
      </c>
      <c r="U232" t="str">
        <f t="shared" si="59"/>
        <v>通过</v>
      </c>
    </row>
    <row r="233" spans="1:21" x14ac:dyDescent="0.15">
      <c r="A233" t="str">
        <f>"232"</f>
        <v>232</v>
      </c>
      <c r="B233" t="str">
        <f>"杨晓娟"</f>
        <v>杨晓娟</v>
      </c>
      <c r="C233" t="str">
        <f>"女        "</f>
        <v xml:space="preserve">女        </v>
      </c>
      <c r="D233" t="str">
        <f t="shared" si="68"/>
        <v>壮族</v>
      </c>
      <c r="E233" t="str">
        <f>"云南文山"</f>
        <v>云南文山</v>
      </c>
      <c r="F233" t="str">
        <f>"1994年05月"</f>
        <v>1994年05月</v>
      </c>
      <c r="G233" t="str">
        <f>"共青团员"</f>
        <v>共青团员</v>
      </c>
      <c r="H233" t="str">
        <f>"昆明学院汉语言文学"</f>
        <v>昆明学院汉语言文学</v>
      </c>
      <c r="I233" t="str">
        <f>"汉语言文学"</f>
        <v>汉语言文学</v>
      </c>
      <c r="J233" t="str">
        <f>"本科学士"</f>
        <v>本科学士</v>
      </c>
      <c r="K233" t="str">
        <f t="shared" si="58"/>
        <v>百色市右江区</v>
      </c>
      <c r="L233" t="str">
        <f>"云南省文山壮族苗族自治州文山市开化镇铜厂社区天生桥"</f>
        <v>云南省文山壮族苗族自治州文山市开化镇铜厂社区天生桥</v>
      </c>
      <c r="M233" t="str">
        <f>""</f>
        <v/>
      </c>
      <c r="N233" t="str">
        <f>"2017.06.01"</f>
        <v>2017.06.01</v>
      </c>
      <c r="O233" t="str">
        <f t="shared" si="67"/>
        <v>是</v>
      </c>
      <c r="P233" t="str">
        <f>"4:高级中学"</f>
        <v>4:高级中学</v>
      </c>
      <c r="Q233" t="str">
        <f>"暂无"</f>
        <v>暂无</v>
      </c>
      <c r="R233" t="str">
        <f>"暂无"</f>
        <v>暂无</v>
      </c>
      <c r="S233" t="str">
        <f>"小学"</f>
        <v>小学</v>
      </c>
      <c r="T233" t="str">
        <f>"102:语文"</f>
        <v>102:语文</v>
      </c>
      <c r="U233" t="str">
        <f t="shared" si="59"/>
        <v>通过</v>
      </c>
    </row>
    <row r="234" spans="1:21" x14ac:dyDescent="0.15">
      <c r="A234" t="str">
        <f>"233"</f>
        <v>233</v>
      </c>
      <c r="B234" t="str">
        <f>"罗常豪"</f>
        <v>罗常豪</v>
      </c>
      <c r="C234" t="str">
        <f>"男        "</f>
        <v xml:space="preserve">男        </v>
      </c>
      <c r="D234" t="str">
        <f t="shared" si="68"/>
        <v>壮族</v>
      </c>
      <c r="E234" t="str">
        <f>"广西靖西市"</f>
        <v>广西靖西市</v>
      </c>
      <c r="F234" t="str">
        <f>"1992年12月"</f>
        <v>1992年12月</v>
      </c>
      <c r="G234" t="str">
        <f>"共青团员"</f>
        <v>共青团员</v>
      </c>
      <c r="H234" t="str">
        <f>"四川理工学院体育教育"</f>
        <v>四川理工学院体育教育</v>
      </c>
      <c r="I234" t="str">
        <f>"体育教育"</f>
        <v>体育教育</v>
      </c>
      <c r="J234" t="str">
        <f>"本科学士"</f>
        <v>本科学士</v>
      </c>
      <c r="K234" t="str">
        <f t="shared" si="58"/>
        <v>百色市右江区</v>
      </c>
      <c r="L234" t="str">
        <f>"广西靖西市地州镇福留村伏旦屯"</f>
        <v>广西靖西市地州镇福留村伏旦屯</v>
      </c>
      <c r="M234" t="str">
        <f>"2015.07.01"</f>
        <v>2015.07.01</v>
      </c>
      <c r="N234" t="str">
        <f>"2015.06.01"</f>
        <v>2015.06.01</v>
      </c>
      <c r="O234" t="str">
        <f t="shared" si="67"/>
        <v>是</v>
      </c>
      <c r="P234" t="str">
        <f>"4:高级中学"</f>
        <v>4:高级中学</v>
      </c>
      <c r="Q234" t="str">
        <f>"正在认定"</f>
        <v>正在认定</v>
      </c>
      <c r="R234" t="str">
        <f>"106221201505002971"</f>
        <v>106221201505002971</v>
      </c>
      <c r="S234" t="str">
        <f>"初中"</f>
        <v>初中</v>
      </c>
      <c r="T234" t="str">
        <f>"212:体育"</f>
        <v>212:体育</v>
      </c>
      <c r="U234" t="str">
        <f t="shared" si="59"/>
        <v>通过</v>
      </c>
    </row>
    <row r="235" spans="1:21" x14ac:dyDescent="0.15">
      <c r="A235" t="str">
        <f>"234"</f>
        <v>234</v>
      </c>
      <c r="B235" t="str">
        <f>"黄金娇"</f>
        <v>黄金娇</v>
      </c>
      <c r="C235" t="str">
        <f>"女        "</f>
        <v xml:space="preserve">女        </v>
      </c>
      <c r="D235" t="str">
        <f t="shared" si="68"/>
        <v>壮族</v>
      </c>
      <c r="E235" t="str">
        <f>"广西"</f>
        <v>广西</v>
      </c>
      <c r="F235" t="str">
        <f>"1995年09月"</f>
        <v>1995年09月</v>
      </c>
      <c r="G235" t="str">
        <f>"共青团员"</f>
        <v>共青团员</v>
      </c>
      <c r="H235" t="str">
        <f>"广西科技师范学院物理教育"</f>
        <v>广西科技师范学院物理教育</v>
      </c>
      <c r="I235" t="str">
        <f>"物理教育"</f>
        <v>物理教育</v>
      </c>
      <c r="J235" t="str">
        <f>"专科无学位"</f>
        <v>专科无学位</v>
      </c>
      <c r="K235" t="str">
        <f t="shared" si="58"/>
        <v>百色市右江区</v>
      </c>
      <c r="L235" t="str">
        <f>"广西百色市右江区汪甸瑶族乡乐益村见屯21号"</f>
        <v>广西百色市右江区汪甸瑶族乡乐益村见屯21号</v>
      </c>
      <c r="M235" t="str">
        <f>""</f>
        <v/>
      </c>
      <c r="N235" t="str">
        <f>"2017.06.01"</f>
        <v>2017.06.01</v>
      </c>
      <c r="O235" t="str">
        <f t="shared" si="67"/>
        <v>是</v>
      </c>
      <c r="P235" t="str">
        <f>"0:暂未取得"</f>
        <v>0:暂未取得</v>
      </c>
      <c r="Q235" t="str">
        <f>"暂无"</f>
        <v>暂无</v>
      </c>
      <c r="R235" t="str">
        <f>"暂无"</f>
        <v>暂无</v>
      </c>
      <c r="S235" t="str">
        <f>"小学"</f>
        <v>小学</v>
      </c>
      <c r="T235" t="str">
        <f>"103:数学"</f>
        <v>103:数学</v>
      </c>
      <c r="U235" t="str">
        <f t="shared" si="59"/>
        <v>通过</v>
      </c>
    </row>
    <row r="236" spans="1:21" x14ac:dyDescent="0.15">
      <c r="A236" t="str">
        <f>"235"</f>
        <v>235</v>
      </c>
      <c r="B236" t="str">
        <f>"黄艳莎"</f>
        <v>黄艳莎</v>
      </c>
      <c r="C236" t="str">
        <f>"女        "</f>
        <v xml:space="preserve">女        </v>
      </c>
      <c r="D236" t="str">
        <f t="shared" si="68"/>
        <v>壮族</v>
      </c>
      <c r="E236" t="str">
        <f>"百色市平果县"</f>
        <v>百色市平果县</v>
      </c>
      <c r="F236" t="str">
        <f>"1990年11月"</f>
        <v>1990年11月</v>
      </c>
      <c r="G236" t="str">
        <f>"群众"</f>
        <v>群众</v>
      </c>
      <c r="H236" t="str">
        <f>"钦州学院教育学小学教育文科"</f>
        <v>钦州学院教育学小学教育文科</v>
      </c>
      <c r="I236" t="str">
        <f>"教育学小学教育文科"</f>
        <v>教育学小学教育文科</v>
      </c>
      <c r="J236" t="str">
        <f>"本科学士"</f>
        <v>本科学士</v>
      </c>
      <c r="K236" t="str">
        <f t="shared" si="58"/>
        <v>百色市右江区</v>
      </c>
      <c r="L236" t="str">
        <f>"广西百色市平果县榜圩镇福吉村巴举屯"</f>
        <v>广西百色市平果县榜圩镇福吉村巴举屯</v>
      </c>
      <c r="M236" t="str">
        <f>""</f>
        <v/>
      </c>
      <c r="N236" t="str">
        <f>"2017.07.01"</f>
        <v>2017.07.01</v>
      </c>
      <c r="O236" t="str">
        <f t="shared" si="67"/>
        <v>是</v>
      </c>
      <c r="P236" t="str">
        <f>"2:小学"</f>
        <v>2:小学</v>
      </c>
      <c r="Q236" t="str">
        <f>"暂无"</f>
        <v>暂无</v>
      </c>
      <c r="R236" t="str">
        <f>"暂无"</f>
        <v>暂无</v>
      </c>
      <c r="S236" t="str">
        <f>"小学"</f>
        <v>小学</v>
      </c>
      <c r="T236" t="str">
        <f>"102:语文"</f>
        <v>102:语文</v>
      </c>
      <c r="U236" t="str">
        <f t="shared" si="59"/>
        <v>通过</v>
      </c>
    </row>
    <row r="237" spans="1:21" x14ac:dyDescent="0.15">
      <c r="A237" t="str">
        <f>"236"</f>
        <v>236</v>
      </c>
      <c r="B237" t="str">
        <f>"李永贵"</f>
        <v>李永贵</v>
      </c>
      <c r="C237" t="str">
        <f>"男        "</f>
        <v xml:space="preserve">男        </v>
      </c>
      <c r="D237" t="str">
        <f>"汉族"</f>
        <v>汉族</v>
      </c>
      <c r="E237" t="str">
        <f>"广西百色"</f>
        <v>广西百色</v>
      </c>
      <c r="F237" t="str">
        <f>"1990年06月"</f>
        <v>1990年06月</v>
      </c>
      <c r="G237" t="str">
        <f>"共青团员"</f>
        <v>共青团员</v>
      </c>
      <c r="H237" t="str">
        <f>"广西师范学院体育教育"</f>
        <v>广西师范学院体育教育</v>
      </c>
      <c r="I237" t="str">
        <f>"体育教育"</f>
        <v>体育教育</v>
      </c>
      <c r="J237" t="str">
        <f>"本科学士"</f>
        <v>本科学士</v>
      </c>
      <c r="K237" t="str">
        <f t="shared" si="58"/>
        <v>百色市右江区</v>
      </c>
      <c r="L237" t="str">
        <f>"广西百色凌云县"</f>
        <v>广西百色凌云县</v>
      </c>
      <c r="M237" t="str">
        <f>"2014.09.01"</f>
        <v>2014.09.01</v>
      </c>
      <c r="N237" t="str">
        <f>"2014.06.01"</f>
        <v>2014.06.01</v>
      </c>
      <c r="O237" t="str">
        <f t="shared" si="67"/>
        <v>是</v>
      </c>
      <c r="P237" t="str">
        <f>"4:高级中学"</f>
        <v>4:高级中学</v>
      </c>
      <c r="Q237" t="str">
        <f>"20144501041003121"</f>
        <v>20144501041003121</v>
      </c>
      <c r="R237" t="str">
        <f>"106031201405002159"</f>
        <v>106031201405002159</v>
      </c>
      <c r="S237" t="str">
        <f>"初中"</f>
        <v>初中</v>
      </c>
      <c r="T237" t="str">
        <f>"212:体育"</f>
        <v>212:体育</v>
      </c>
      <c r="U237" t="str">
        <f t="shared" si="59"/>
        <v>通过</v>
      </c>
    </row>
    <row r="238" spans="1:21" x14ac:dyDescent="0.15">
      <c r="A238" t="str">
        <f>"237"</f>
        <v>237</v>
      </c>
      <c r="B238" t="str">
        <f>"李坤有"</f>
        <v>李坤有</v>
      </c>
      <c r="C238" t="str">
        <f>"女        "</f>
        <v xml:space="preserve">女        </v>
      </c>
      <c r="D238" t="str">
        <f>"汉族"</f>
        <v>汉族</v>
      </c>
      <c r="E238" t="str">
        <f>"贵港"</f>
        <v>贵港</v>
      </c>
      <c r="F238" t="str">
        <f>"1994年03月"</f>
        <v>1994年03月</v>
      </c>
      <c r="G238" t="str">
        <f>"共青团员"</f>
        <v>共青团员</v>
      </c>
      <c r="H238" t="str">
        <f>"百色学院汉语"</f>
        <v>百色学院汉语</v>
      </c>
      <c r="I238" t="str">
        <f>"汉语"</f>
        <v>汉语</v>
      </c>
      <c r="J238" t="str">
        <f>"专科无学位"</f>
        <v>专科无学位</v>
      </c>
      <c r="K238" t="str">
        <f t="shared" si="58"/>
        <v>百色市右江区</v>
      </c>
      <c r="L238" t="str">
        <f>"广西贵港桂平市木根镇"</f>
        <v>广西贵港桂平市木根镇</v>
      </c>
      <c r="M238" t="str">
        <f>"2016.09.01"</f>
        <v>2016.09.01</v>
      </c>
      <c r="N238" t="str">
        <f>"2016.06.01"</f>
        <v>2016.06.01</v>
      </c>
      <c r="O238" t="str">
        <f t="shared" si="67"/>
        <v>是</v>
      </c>
      <c r="P238" t="str">
        <f>"2:小学"</f>
        <v>2:小学</v>
      </c>
      <c r="Q238" t="str">
        <f>"20164580022001040"</f>
        <v>20164580022001040</v>
      </c>
      <c r="R238" t="str">
        <f>"106091201606000676"</f>
        <v>106091201606000676</v>
      </c>
      <c r="S238" t="str">
        <f>"小学"</f>
        <v>小学</v>
      </c>
      <c r="T238" t="str">
        <f>"102:语文"</f>
        <v>102:语文</v>
      </c>
      <c r="U238" t="str">
        <f t="shared" si="59"/>
        <v>通过</v>
      </c>
    </row>
    <row r="239" spans="1:21" x14ac:dyDescent="0.15">
      <c r="A239" t="str">
        <f>"238"</f>
        <v>238</v>
      </c>
      <c r="B239" t="str">
        <f>"杨永培"</f>
        <v>杨永培</v>
      </c>
      <c r="C239" t="str">
        <f>"男        "</f>
        <v xml:space="preserve">男        </v>
      </c>
      <c r="D239" t="str">
        <f>"汉族"</f>
        <v>汉族</v>
      </c>
      <c r="E239" t="str">
        <f>"广西桂平市"</f>
        <v>广西桂平市</v>
      </c>
      <c r="F239" t="str">
        <f>"1994年05月"</f>
        <v>1994年05月</v>
      </c>
      <c r="G239" t="str">
        <f>"中共党员"</f>
        <v>中共党员</v>
      </c>
      <c r="H239" t="str">
        <f>"百色学院人文教育"</f>
        <v>百色学院人文教育</v>
      </c>
      <c r="I239" t="str">
        <f>"人文教育"</f>
        <v>人文教育</v>
      </c>
      <c r="J239" t="str">
        <f>"本科学士"</f>
        <v>本科学士</v>
      </c>
      <c r="K239" t="str">
        <f t="shared" si="58"/>
        <v>百色市右江区</v>
      </c>
      <c r="L239" t="str">
        <f>"广西桂平市白沙镇新成村塘表屯3号"</f>
        <v>广西桂平市白沙镇新成村塘表屯3号</v>
      </c>
      <c r="M239" t="str">
        <f>""</f>
        <v/>
      </c>
      <c r="N239" t="str">
        <f>"2017.07.01"</f>
        <v>2017.07.01</v>
      </c>
      <c r="O239" t="str">
        <f t="shared" si="67"/>
        <v>是</v>
      </c>
      <c r="P239" t="str">
        <f>"4:高级中学"</f>
        <v>4:高级中学</v>
      </c>
      <c r="Q239" t="str">
        <f>"2017届毕业生填暂无"</f>
        <v>2017届毕业生填暂无</v>
      </c>
      <c r="R239" t="str">
        <f>"2017届毕业生填暂无"</f>
        <v>2017届毕业生填暂无</v>
      </c>
      <c r="S239" t="str">
        <f>"初中"</f>
        <v>初中</v>
      </c>
      <c r="T239" t="str">
        <f>"207:地理"</f>
        <v>207:地理</v>
      </c>
      <c r="U239" t="str">
        <f t="shared" si="59"/>
        <v>通过</v>
      </c>
    </row>
    <row r="240" spans="1:21" x14ac:dyDescent="0.15">
      <c r="A240" t="str">
        <f>"239"</f>
        <v>239</v>
      </c>
      <c r="B240" t="str">
        <f>"吴丽群"</f>
        <v>吴丽群</v>
      </c>
      <c r="C240" t="str">
        <f>"女        "</f>
        <v xml:space="preserve">女        </v>
      </c>
      <c r="D240" t="str">
        <f>"汉族"</f>
        <v>汉族</v>
      </c>
      <c r="E240" t="str">
        <f>"广西防城港市"</f>
        <v>广西防城港市</v>
      </c>
      <c r="F240" t="str">
        <f>"1992年03月"</f>
        <v>1992年03月</v>
      </c>
      <c r="G240" t="str">
        <f>"中共党员"</f>
        <v>中共党员</v>
      </c>
      <c r="H240" t="str">
        <f>"百色学院汉语言文学"</f>
        <v>百色学院汉语言文学</v>
      </c>
      <c r="I240" t="str">
        <f>"汉语言文学"</f>
        <v>汉语言文学</v>
      </c>
      <c r="J240" t="str">
        <f>"本科学士"</f>
        <v>本科学士</v>
      </c>
      <c r="K240" t="str">
        <f t="shared" si="58"/>
        <v>百色市右江区</v>
      </c>
      <c r="L240" t="str">
        <f>"广西防城港市港口区光坡镇中间坪村早禾田组27号"</f>
        <v>广西防城港市港口区光坡镇中间坪村早禾田组27号</v>
      </c>
      <c r="M240" t="str">
        <f>""</f>
        <v/>
      </c>
      <c r="N240" t="str">
        <f>"2017.06.01"</f>
        <v>2017.06.01</v>
      </c>
      <c r="O240" t="str">
        <f>"不是"</f>
        <v>不是</v>
      </c>
      <c r="P240" t="str">
        <f>"4:高级中学"</f>
        <v>4:高级中学</v>
      </c>
      <c r="Q240" t="str">
        <f>"无"</f>
        <v>无</v>
      </c>
      <c r="R240" t="str">
        <f>"无"</f>
        <v>无</v>
      </c>
      <c r="S240" t="str">
        <f>"初中"</f>
        <v>初中</v>
      </c>
      <c r="T240" t="str">
        <f>"202:语文"</f>
        <v>202:语文</v>
      </c>
      <c r="U240" t="str">
        <f t="shared" si="59"/>
        <v>通过</v>
      </c>
    </row>
    <row r="241" spans="1:21" x14ac:dyDescent="0.15">
      <c r="A241" t="str">
        <f>"240"</f>
        <v>240</v>
      </c>
      <c r="B241" t="str">
        <f>"曹雲"</f>
        <v>曹雲</v>
      </c>
      <c r="C241" t="str">
        <f>"女        "</f>
        <v xml:space="preserve">女        </v>
      </c>
      <c r="D241" t="str">
        <f>"汉族"</f>
        <v>汉族</v>
      </c>
      <c r="E241" t="str">
        <f>"广西百色"</f>
        <v>广西百色</v>
      </c>
      <c r="F241" t="str">
        <f>"1995年08月"</f>
        <v>1995年08月</v>
      </c>
      <c r="G241" t="str">
        <f>"共青团员"</f>
        <v>共青团员</v>
      </c>
      <c r="H241" t="str">
        <f>"百色学院化学"</f>
        <v>百色学院化学</v>
      </c>
      <c r="I241" t="str">
        <f>"化学"</f>
        <v>化学</v>
      </c>
      <c r="J241" t="str">
        <f>"本科学士"</f>
        <v>本科学士</v>
      </c>
      <c r="K241" t="str">
        <f t="shared" si="58"/>
        <v>百色市右江区</v>
      </c>
      <c r="L241" t="str">
        <f>"广西百色市隆林县隆或乡马宗村木干寨"</f>
        <v>广西百色市隆林县隆或乡马宗村木干寨</v>
      </c>
      <c r="M241" t="str">
        <f>"2016.10.01"</f>
        <v>2016.10.01</v>
      </c>
      <c r="N241" t="str">
        <f>"2017.07.01"</f>
        <v>2017.07.01</v>
      </c>
      <c r="O241" t="str">
        <f>"是"</f>
        <v>是</v>
      </c>
      <c r="P241" t="str">
        <f>"4:高级中学"</f>
        <v>4:高级中学</v>
      </c>
      <c r="Q241" t="str">
        <f>"无"</f>
        <v>无</v>
      </c>
      <c r="R241" t="str">
        <f>"无"</f>
        <v>无</v>
      </c>
      <c r="S241" t="str">
        <f>"初中"</f>
        <v>初中</v>
      </c>
      <c r="T241" t="str">
        <f>"211:化学"</f>
        <v>211:化学</v>
      </c>
      <c r="U241" t="str">
        <f t="shared" si="59"/>
        <v>通过</v>
      </c>
    </row>
    <row r="242" spans="1:21" x14ac:dyDescent="0.15">
      <c r="A242" t="str">
        <f>"241"</f>
        <v>241</v>
      </c>
      <c r="B242" t="str">
        <f>"许玉红"</f>
        <v>许玉红</v>
      </c>
      <c r="C242" t="str">
        <f>"女        "</f>
        <v xml:space="preserve">女        </v>
      </c>
      <c r="D242" t="str">
        <f>"壮族"</f>
        <v>壮族</v>
      </c>
      <c r="E242" t="str">
        <f>"广西靖西"</f>
        <v>广西靖西</v>
      </c>
      <c r="F242" t="str">
        <f>"1993年08月"</f>
        <v>1993年08月</v>
      </c>
      <c r="G242" t="str">
        <f>"中共预备党员"</f>
        <v>中共预备党员</v>
      </c>
      <c r="H242" t="str">
        <f>"广西师范学院化学"</f>
        <v>广西师范学院化学</v>
      </c>
      <c r="I242" t="str">
        <f>"化学"</f>
        <v>化学</v>
      </c>
      <c r="J242" t="str">
        <f>"本科学士"</f>
        <v>本科学士</v>
      </c>
      <c r="K242" t="str">
        <f t="shared" si="58"/>
        <v>百色市右江区</v>
      </c>
      <c r="L242" t="str">
        <f>"广西百色市靖西县湖润镇湖润街外伏屯"</f>
        <v>广西百色市靖西县湖润镇湖润街外伏屯</v>
      </c>
      <c r="M242" t="str">
        <f>""</f>
        <v/>
      </c>
      <c r="N242" t="str">
        <f>"2017.06.01"</f>
        <v>2017.06.01</v>
      </c>
      <c r="O242" t="str">
        <f>"是"</f>
        <v>是</v>
      </c>
      <c r="P242" t="str">
        <f>"4:高级中学"</f>
        <v>4:高级中学</v>
      </c>
      <c r="Q242" t="str">
        <f>"暂无"</f>
        <v>暂无</v>
      </c>
      <c r="R242" t="str">
        <f>"暂无"</f>
        <v>暂无</v>
      </c>
      <c r="S242" t="str">
        <f>"初中"</f>
        <v>初中</v>
      </c>
      <c r="T242" t="str">
        <f>"211:化学"</f>
        <v>211:化学</v>
      </c>
      <c r="U242" t="str">
        <f t="shared" si="59"/>
        <v>通过</v>
      </c>
    </row>
    <row r="243" spans="1:21" x14ac:dyDescent="0.15">
      <c r="A243" t="str">
        <f>"242"</f>
        <v>242</v>
      </c>
      <c r="B243" t="str">
        <f>"王燕婷"</f>
        <v>王燕婷</v>
      </c>
      <c r="C243" t="str">
        <f>"女        "</f>
        <v xml:space="preserve">女        </v>
      </c>
      <c r="D243" t="str">
        <f>"壮族"</f>
        <v>壮族</v>
      </c>
      <c r="E243" t="str">
        <f>"广西百色"</f>
        <v>广西百色</v>
      </c>
      <c r="F243" t="str">
        <f>"1997年09月"</f>
        <v>1997年09月</v>
      </c>
      <c r="G243" t="str">
        <f>"共青团员"</f>
        <v>共青团员</v>
      </c>
      <c r="H243" t="str">
        <f>"百色学院小学教育"</f>
        <v>百色学院小学教育</v>
      </c>
      <c r="I243" t="str">
        <f>"小学教育"</f>
        <v>小学教育</v>
      </c>
      <c r="J243" t="str">
        <f>"专科无学位"</f>
        <v>专科无学位</v>
      </c>
      <c r="K243" t="str">
        <f t="shared" si="58"/>
        <v>百色市右江区</v>
      </c>
      <c r="L243" t="str">
        <f>"广西省百色市右江区阳圩镇塘里村六敢屯68号"</f>
        <v>广西省百色市右江区阳圩镇塘里村六敢屯68号</v>
      </c>
      <c r="M243" t="str">
        <f>"2017.03.01"</f>
        <v>2017.03.01</v>
      </c>
      <c r="N243" t="str">
        <f>"2017.06.01"</f>
        <v>2017.06.01</v>
      </c>
      <c r="O243" t="str">
        <f>"是"</f>
        <v>是</v>
      </c>
      <c r="P243" t="str">
        <f>"0:暂未取得"</f>
        <v>0:暂未取得</v>
      </c>
      <c r="Q243" t="str">
        <f>"暂无"</f>
        <v>暂无</v>
      </c>
      <c r="R243" t="str">
        <f>"暂无"</f>
        <v>暂无</v>
      </c>
      <c r="S243" t="str">
        <f>"小学"</f>
        <v>小学</v>
      </c>
      <c r="T243" t="str">
        <f>"103:数学"</f>
        <v>103:数学</v>
      </c>
      <c r="U243" t="str">
        <f t="shared" si="59"/>
        <v>通过</v>
      </c>
    </row>
    <row r="244" spans="1:21" x14ac:dyDescent="0.15">
      <c r="A244" t="str">
        <f>"243"</f>
        <v>243</v>
      </c>
      <c r="B244" t="str">
        <f>"韦江艳"</f>
        <v>韦江艳</v>
      </c>
      <c r="C244" t="str">
        <f>"女        "</f>
        <v xml:space="preserve">女        </v>
      </c>
      <c r="D244" t="str">
        <f>"壮族"</f>
        <v>壮族</v>
      </c>
      <c r="E244" t="str">
        <f>"广西百色"</f>
        <v>广西百色</v>
      </c>
      <c r="F244" t="str">
        <f>"1993年01月"</f>
        <v>1993年01月</v>
      </c>
      <c r="G244" t="str">
        <f>"共青团员"</f>
        <v>共青团员</v>
      </c>
      <c r="H244" t="str">
        <f>"百色学院产品设计"</f>
        <v>百色学院产品设计</v>
      </c>
      <c r="I244" t="str">
        <f>"产品设计"</f>
        <v>产品设计</v>
      </c>
      <c r="J244" t="str">
        <f>"本科学士"</f>
        <v>本科学士</v>
      </c>
      <c r="K244" t="str">
        <f t="shared" si="58"/>
        <v>百色市右江区</v>
      </c>
      <c r="L244" t="str">
        <f>"广西百色市右江区麒麟山水家园8a404"</f>
        <v>广西百色市右江区麒麟山水家园8a404</v>
      </c>
      <c r="M244" t="str">
        <f>"2017.04.01"</f>
        <v>2017.04.01</v>
      </c>
      <c r="N244" t="str">
        <f>"2017.06.01"</f>
        <v>2017.06.01</v>
      </c>
      <c r="O244" t="str">
        <f>"不是"</f>
        <v>不是</v>
      </c>
      <c r="P244" t="str">
        <f>"3:初级中学"</f>
        <v>3:初级中学</v>
      </c>
      <c r="Q244" t="str">
        <f>"2017453016874"</f>
        <v>2017453016874</v>
      </c>
      <c r="R244" t="str">
        <f>"2017届毕业生填暂无"</f>
        <v>2017届毕业生填暂无</v>
      </c>
      <c r="S244" t="str">
        <f>"小学"</f>
        <v>小学</v>
      </c>
      <c r="T244" t="str">
        <f>"108:美术"</f>
        <v>108:美术</v>
      </c>
      <c r="U244" t="str">
        <f t="shared" si="59"/>
        <v>通过</v>
      </c>
    </row>
    <row r="245" spans="1:21" x14ac:dyDescent="0.15">
      <c r="A245" t="str">
        <f>"244"</f>
        <v>244</v>
      </c>
      <c r="B245" t="str">
        <f>"王加雷"</f>
        <v>王加雷</v>
      </c>
      <c r="C245" t="str">
        <f>"男        "</f>
        <v xml:space="preserve">男        </v>
      </c>
      <c r="D245" t="str">
        <f>"汉族"</f>
        <v>汉族</v>
      </c>
      <c r="E245" t="str">
        <f>"云南省曲靖市会泽县"</f>
        <v>云南省曲靖市会泽县</v>
      </c>
      <c r="F245" t="str">
        <f>"1992年07月"</f>
        <v>1992年07月</v>
      </c>
      <c r="G245" t="str">
        <f>"共青团员"</f>
        <v>共青团员</v>
      </c>
      <c r="H245" t="str">
        <f>"云南师范大学文理学院汉语言文学"</f>
        <v>云南师范大学文理学院汉语言文学</v>
      </c>
      <c r="I245" t="str">
        <f>"汉语言文学"</f>
        <v>汉语言文学</v>
      </c>
      <c r="J245" t="str">
        <f>"本科学士"</f>
        <v>本科学士</v>
      </c>
      <c r="K245" t="str">
        <f t="shared" si="58"/>
        <v>百色市右江区</v>
      </c>
      <c r="L245" t="str">
        <f>"云南省曲靖市会泽县大桥乡黄草村委会老岩脚5组"</f>
        <v>云南省曲靖市会泽县大桥乡黄草村委会老岩脚5组</v>
      </c>
      <c r="M245" t="str">
        <f>""</f>
        <v/>
      </c>
      <c r="N245" t="str">
        <f>"2017.07.01"</f>
        <v>2017.07.01</v>
      </c>
      <c r="O245" t="str">
        <f>"不是"</f>
        <v>不是</v>
      </c>
      <c r="P245" t="str">
        <f>"3:初级中学"</f>
        <v>3:初级中学</v>
      </c>
      <c r="Q245" t="str">
        <f>"2017届毕业生填暂无"</f>
        <v>2017届毕业生填暂无</v>
      </c>
      <c r="R245" t="str">
        <f>"2017届毕业生填暂无"</f>
        <v>2017届毕业生填暂无</v>
      </c>
      <c r="S245" t="str">
        <f>"小学"</f>
        <v>小学</v>
      </c>
      <c r="T245" t="str">
        <f>"102:语文"</f>
        <v>102:语文</v>
      </c>
      <c r="U245" t="str">
        <f t="shared" si="59"/>
        <v>通过</v>
      </c>
    </row>
    <row r="246" spans="1:21" x14ac:dyDescent="0.15">
      <c r="A246" t="str">
        <f>"245"</f>
        <v>245</v>
      </c>
      <c r="B246" t="str">
        <f>"黄幸团"</f>
        <v>黄幸团</v>
      </c>
      <c r="C246" t="str">
        <f>"女        "</f>
        <v xml:space="preserve">女        </v>
      </c>
      <c r="D246" t="str">
        <f>"壮族"</f>
        <v>壮族</v>
      </c>
      <c r="E246" t="str">
        <f>"广西"</f>
        <v>广西</v>
      </c>
      <c r="F246" t="str">
        <f>"1993年09月"</f>
        <v>1993年09月</v>
      </c>
      <c r="G246" t="str">
        <f>"共青团员"</f>
        <v>共青团员</v>
      </c>
      <c r="H246" t="str">
        <f>"百色学院音乐表演"</f>
        <v>百色学院音乐表演</v>
      </c>
      <c r="I246" t="str">
        <f>"音乐表演"</f>
        <v>音乐表演</v>
      </c>
      <c r="J246" t="str">
        <f>"本科学士"</f>
        <v>本科学士</v>
      </c>
      <c r="K246" t="str">
        <f t="shared" si="58"/>
        <v>百色市右江区</v>
      </c>
      <c r="L246" t="str">
        <f>"广西省百色市西林县八达镇花贡村花贡屯045号"</f>
        <v>广西省百色市西林县八达镇花贡村花贡屯045号</v>
      </c>
      <c r="M246" t="str">
        <f>"2016.09.01"</f>
        <v>2016.09.01</v>
      </c>
      <c r="N246" t="str">
        <f>"2017.07.01"</f>
        <v>2017.07.01</v>
      </c>
      <c r="O246" t="str">
        <f>"是"</f>
        <v>是</v>
      </c>
      <c r="P246" t="str">
        <f>"0:暂未取得"</f>
        <v>0:暂未取得</v>
      </c>
      <c r="Q246" t="str">
        <f>"暂无"</f>
        <v>暂无</v>
      </c>
      <c r="R246" t="str">
        <f>"暂无"</f>
        <v>暂无</v>
      </c>
      <c r="S246" t="str">
        <f>"小学"</f>
        <v>小学</v>
      </c>
      <c r="T246" t="str">
        <f>"107:音乐"</f>
        <v>107:音乐</v>
      </c>
      <c r="U246" t="str">
        <f t="shared" si="59"/>
        <v>通过</v>
      </c>
    </row>
  </sheetData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百色市右江区2017年特岗教师招聘网上资格审查通过人员名单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htjs</cp:lastModifiedBy>
  <dcterms:created xsi:type="dcterms:W3CDTF">2017-07-03T01:20:39Z</dcterms:created>
  <dcterms:modified xsi:type="dcterms:W3CDTF">2017-07-03T01:44:18Z</dcterms:modified>
</cp:coreProperties>
</file>